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BuÇalışmaKitabı" autoCompressPictures="0" defaultThemeVersion="124226"/>
  <mc:AlternateContent xmlns:mc="http://schemas.openxmlformats.org/markup-compatibility/2006">
    <mc:Choice Requires="x15">
      <x15ac:absPath xmlns:x15ac="http://schemas.microsoft.com/office/spreadsheetml/2010/11/ac" url="C:\Users\½\Desktop\ami\"/>
    </mc:Choice>
  </mc:AlternateContent>
  <xr:revisionPtr revIDLastSave="0" documentId="13_ncr:1_{7B68A7F2-412A-4491-A092-312145473E25}" xr6:coauthVersionLast="47" xr6:coauthVersionMax="47" xr10:uidLastSave="{00000000-0000-0000-0000-000000000000}"/>
  <workbookProtection workbookAlgorithmName="SHA-512" workbookHashValue="oXQoLKxCws50ZLZxpY/8ZTfcNZMheQi1wujhTID7yQV355XtppvBCXbTpXZ+/8gNvaJ6M+4IsdiU2tp7oqjG9Q==" workbookSaltValue="5vtiGlTBgv1mrEsA3E9/tQ=="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9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 i="130" l="1"/>
  <c r="AP3" i="130"/>
  <c r="AP4" i="130"/>
  <c r="AP5" i="130"/>
  <c r="AP6" i="130"/>
  <c r="AP7" i="130"/>
  <c r="AP8" i="130"/>
  <c r="AP9" i="130"/>
  <c r="AP10" i="130"/>
  <c r="AP11" i="130"/>
  <c r="AP12" i="130"/>
  <c r="AP1" i="130"/>
  <c r="AO2" i="130"/>
  <c r="AO3" i="130"/>
  <c r="AO4" i="130"/>
  <c r="AO5" i="130"/>
  <c r="AO6" i="130"/>
  <c r="AO7" i="130"/>
  <c r="AO8" i="130"/>
  <c r="AO9" i="130"/>
  <c r="AO10" i="130"/>
  <c r="AO11" i="130"/>
  <c r="AO12" i="130"/>
  <c r="AO1" i="130"/>
  <c r="AJ29" i="130"/>
  <c r="AA16" i="130" l="1"/>
  <c r="AA17" i="130"/>
  <c r="AA18" i="130"/>
  <c r="AA19" i="130"/>
  <c r="AA20" i="130"/>
  <c r="AA21" i="130"/>
  <c r="AA22" i="130"/>
  <c r="AA23" i="130"/>
  <c r="AA24" i="130"/>
  <c r="AA25" i="130"/>
  <c r="AA26" i="130"/>
  <c r="AA15" i="130"/>
  <c r="AJ31" i="130" l="1"/>
  <c r="AJ32" i="130"/>
  <c r="AJ33" i="130"/>
  <c r="AJ34" i="130"/>
  <c r="AJ35" i="130"/>
  <c r="AJ36" i="130"/>
  <c r="AJ37" i="130"/>
  <c r="AJ38" i="130"/>
  <c r="AJ39" i="130"/>
  <c r="AJ40" i="130"/>
  <c r="AJ30" i="130"/>
  <c r="Z30" i="130"/>
  <c r="AB30" i="130" s="1"/>
  <c r="Z31" i="130"/>
  <c r="Z32" i="130"/>
  <c r="AB32" i="130" s="1"/>
  <c r="AF32" i="130" s="1"/>
  <c r="Z33" i="130"/>
  <c r="AB33" i="130" s="1"/>
  <c r="Z34" i="130"/>
  <c r="AB34" i="130" s="1"/>
  <c r="AC34" i="130" s="1"/>
  <c r="AD34" i="130" s="1"/>
  <c r="AE34" i="130" s="1"/>
  <c r="Z35" i="130"/>
  <c r="AB35" i="130" s="1"/>
  <c r="AC35" i="130" s="1"/>
  <c r="Z36" i="130"/>
  <c r="Z37" i="130"/>
  <c r="AB37" i="130" s="1"/>
  <c r="Z38" i="130"/>
  <c r="AB38" i="130" s="1"/>
  <c r="AC38" i="130" s="1"/>
  <c r="AD38" i="130" s="1"/>
  <c r="AE38" i="130" s="1"/>
  <c r="Z39" i="130"/>
  <c r="AB39" i="130" s="1"/>
  <c r="AF39" i="130" s="1"/>
  <c r="AJ11" i="130" s="1"/>
  <c r="Z40" i="130"/>
  <c r="AB40" i="130" s="1"/>
  <c r="Z29" i="130"/>
  <c r="AB29" i="130" s="1"/>
  <c r="AF29" i="130" s="1"/>
  <c r="AB31" i="130"/>
  <c r="AF31" i="130" s="1"/>
  <c r="AT16" i="130"/>
  <c r="AT17" i="130"/>
  <c r="AT18" i="130"/>
  <c r="AT19" i="130"/>
  <c r="AT20" i="130"/>
  <c r="AT21" i="130"/>
  <c r="AT22" i="130"/>
  <c r="AT23" i="130"/>
  <c r="AT24" i="130"/>
  <c r="AT25" i="130"/>
  <c r="AT26" i="130"/>
  <c r="AT15" i="130"/>
  <c r="AF27" i="130"/>
  <c r="AW44" i="130"/>
  <c r="AV44" i="130"/>
  <c r="AY29" i="130"/>
  <c r="AX29" i="130"/>
  <c r="AU26" i="130"/>
  <c r="AY26" i="130" s="1"/>
  <c r="AU25" i="130"/>
  <c r="AY25" i="130" s="1"/>
  <c r="AU24" i="130"/>
  <c r="AV24" i="130" s="1"/>
  <c r="AU23" i="130"/>
  <c r="AZ23" i="130" s="1"/>
  <c r="AU22" i="130"/>
  <c r="AX8" i="130" s="1"/>
  <c r="AU21" i="130"/>
  <c r="AY21" i="130" s="1"/>
  <c r="AU20" i="130"/>
  <c r="AV20" i="130" s="1"/>
  <c r="AU19" i="130"/>
  <c r="AZ19" i="130" s="1"/>
  <c r="AU18" i="130"/>
  <c r="AV18" i="130" s="1"/>
  <c r="AW18" i="130" s="1"/>
  <c r="AX18" i="130" s="1"/>
  <c r="AU17" i="130"/>
  <c r="AV17" i="130" s="1"/>
  <c r="AU16" i="130"/>
  <c r="AU15" i="130"/>
  <c r="AV15" i="130" s="1"/>
  <c r="V13" i="130"/>
  <c r="V34" i="130"/>
  <c r="V33" i="130" s="1"/>
  <c r="W26" i="130"/>
  <c r="V25" i="130"/>
  <c r="X25" i="130" s="1"/>
  <c r="V24" i="130"/>
  <c r="Y24" i="130" s="1"/>
  <c r="V23" i="130"/>
  <c r="V22" i="130"/>
  <c r="X22" i="130" s="1"/>
  <c r="V19" i="130"/>
  <c r="V17" i="130"/>
  <c r="V18" i="130" s="1"/>
  <c r="X18" i="130" s="1"/>
  <c r="X7" i="130" s="1"/>
  <c r="V16" i="130"/>
  <c r="X16" i="130" s="1"/>
  <c r="X5" i="130" s="1"/>
  <c r="V4" i="130"/>
  <c r="Y4" i="130" s="1"/>
  <c r="V3" i="130"/>
  <c r="Y3" i="130" s="1"/>
  <c r="V2" i="130"/>
  <c r="X2" i="130" s="1"/>
  <c r="AB36" i="130"/>
  <c r="AC36" i="130" s="1"/>
  <c r="BL2" i="130"/>
  <c r="BA30" i="130"/>
  <c r="BA31" i="130"/>
  <c r="BA32" i="130"/>
  <c r="BA33" i="130"/>
  <c r="BA34" i="130"/>
  <c r="BA35" i="130"/>
  <c r="BA36" i="130"/>
  <c r="BA37" i="130"/>
  <c r="BA38" i="130"/>
  <c r="BA39" i="130"/>
  <c r="BA40" i="130"/>
  <c r="BA29" i="130"/>
  <c r="AI13" i="130"/>
  <c r="AI27" i="130"/>
  <c r="AC27" i="130"/>
  <c r="AN41" i="130"/>
  <c r="AH41" i="130"/>
  <c r="I27" i="130"/>
  <c r="AV31" i="130"/>
  <c r="AV32" i="130"/>
  <c r="AV33" i="130"/>
  <c r="AV34" i="130"/>
  <c r="AV35" i="130"/>
  <c r="AV36" i="130"/>
  <c r="AV37" i="130"/>
  <c r="AV38" i="130"/>
  <c r="AV39" i="130"/>
  <c r="AV40" i="130"/>
  <c r="AV41" i="130"/>
  <c r="AV30" i="130"/>
  <c r="BA16" i="130"/>
  <c r="BA17" i="130"/>
  <c r="BA18" i="130"/>
  <c r="BA19" i="130"/>
  <c r="BA20" i="130"/>
  <c r="BA21" i="130"/>
  <c r="BA22" i="130"/>
  <c r="BA23" i="130"/>
  <c r="BA24" i="130"/>
  <c r="BA25" i="130"/>
  <c r="BA26" i="130"/>
  <c r="BA15" i="130"/>
  <c r="AR31" i="130"/>
  <c r="AX5" i="130"/>
  <c r="AA1" i="130"/>
  <c r="AR34" i="130"/>
  <c r="AR33" i="130"/>
  <c r="AR32" i="130"/>
  <c r="AT31" i="130"/>
  <c r="AX12" i="130" l="1"/>
  <c r="Y17" i="130"/>
  <c r="Y19" i="130" s="1"/>
  <c r="Y20" i="130" s="1"/>
  <c r="X17" i="130"/>
  <c r="X6" i="130" s="1"/>
  <c r="AX4" i="130"/>
  <c r="X3" i="130"/>
  <c r="AX9" i="130"/>
  <c r="X4" i="130"/>
  <c r="V26" i="130"/>
  <c r="Y26" i="130" s="1"/>
  <c r="Y34" i="130"/>
  <c r="AX6" i="130"/>
  <c r="Y23" i="130"/>
  <c r="X34" i="130"/>
  <c r="X23" i="130"/>
  <c r="Y2" i="130"/>
  <c r="Y22" i="130"/>
  <c r="AY19" i="130"/>
  <c r="X24" i="130"/>
  <c r="AZ22" i="130"/>
  <c r="BB22" i="130" s="1"/>
  <c r="AV26" i="130"/>
  <c r="AW26" i="130" s="1"/>
  <c r="AX26" i="130" s="1"/>
  <c r="Y18" i="130"/>
  <c r="Y7" i="130" s="1"/>
  <c r="Y6" i="130"/>
  <c r="Y16" i="130"/>
  <c r="Y5" i="130" s="1"/>
  <c r="AT32" i="130"/>
  <c r="AT33" i="130" s="1"/>
  <c r="AT34" i="130" s="1"/>
  <c r="AZ18" i="130"/>
  <c r="BB18" i="130" s="1"/>
  <c r="BB19" i="130"/>
  <c r="AO34" i="130" s="1"/>
  <c r="AZ26" i="130"/>
  <c r="BB26" i="130" s="1"/>
  <c r="AP41" i="130" s="1"/>
  <c r="AJ41" i="130"/>
  <c r="AJ42" i="130" s="1"/>
  <c r="BB23" i="130"/>
  <c r="AO38" i="130" s="1"/>
  <c r="Y25" i="130"/>
  <c r="X19" i="130"/>
  <c r="X20" i="130" s="1"/>
  <c r="AY15" i="130"/>
  <c r="AX1" i="130"/>
  <c r="AY23" i="130"/>
  <c r="AY22" i="130"/>
  <c r="AV22" i="130"/>
  <c r="AW22" i="130" s="1"/>
  <c r="AX22" i="130" s="1"/>
  <c r="AY18" i="130"/>
  <c r="AF40" i="130"/>
  <c r="AJ12" i="130" s="1"/>
  <c r="AK12" i="130" s="1"/>
  <c r="AC40" i="130"/>
  <c r="AD40" i="130" s="1"/>
  <c r="AE40" i="130" s="1"/>
  <c r="AF36" i="130"/>
  <c r="AJ8" i="130" s="1"/>
  <c r="AO52" i="130" s="1"/>
  <c r="AO55" i="130"/>
  <c r="AC1" i="130"/>
  <c r="AD1" i="130" s="1"/>
  <c r="Z2" i="130"/>
  <c r="AV21" i="130"/>
  <c r="AW21" i="130" s="1"/>
  <c r="AX21" i="130" s="1"/>
  <c r="AX3" i="130"/>
  <c r="AX7" i="130"/>
  <c r="AX11" i="130"/>
  <c r="AA27" i="130"/>
  <c r="AA28" i="130" s="1"/>
  <c r="AZ24" i="130"/>
  <c r="BB24" i="130" s="1"/>
  <c r="AV16" i="130"/>
  <c r="AW16" i="130" s="1"/>
  <c r="AX16" i="130" s="1"/>
  <c r="AX2" i="130"/>
  <c r="AZ16" i="130"/>
  <c r="BB16" i="130" s="1"/>
  <c r="AV25" i="130"/>
  <c r="AW25" i="130" s="1"/>
  <c r="AX25" i="130" s="1"/>
  <c r="AY17" i="130"/>
  <c r="AY16" i="130"/>
  <c r="AX10" i="130"/>
  <c r="AU27" i="130"/>
  <c r="AU28" i="130" s="1"/>
  <c r="AZ21" i="130"/>
  <c r="BB21" i="130" s="1"/>
  <c r="AY24" i="130"/>
  <c r="AF30" i="130"/>
  <c r="AJ2" i="130" s="1"/>
  <c r="AO46" i="130" s="1"/>
  <c r="AC30" i="130"/>
  <c r="AF38" i="130"/>
  <c r="AJ10" i="130" s="1"/>
  <c r="AK10" i="130" s="1"/>
  <c r="AM24" i="130" s="1"/>
  <c r="AC32" i="130"/>
  <c r="BA4" i="130" s="1"/>
  <c r="AF34" i="130"/>
  <c r="AJ6" i="130" s="1"/>
  <c r="AK6" i="130" s="1"/>
  <c r="AC39" i="130"/>
  <c r="AK41" i="130"/>
  <c r="AC33" i="130"/>
  <c r="AD33" i="130" s="1"/>
  <c r="AE33" i="130" s="1"/>
  <c r="AF33" i="130"/>
  <c r="AJ5" i="130" s="1"/>
  <c r="AO49" i="130" s="1"/>
  <c r="AC37" i="130"/>
  <c r="AD37" i="130" s="1"/>
  <c r="AE37" i="130" s="1"/>
  <c r="AF37" i="130"/>
  <c r="Z41" i="130"/>
  <c r="Z42" i="130" s="1"/>
  <c r="AK11" i="130"/>
  <c r="AM25" i="130" s="1"/>
  <c r="AJ3" i="130"/>
  <c r="AO47" i="130" s="1"/>
  <c r="BA10" i="130"/>
  <c r="AF35" i="130"/>
  <c r="AJ7" i="130" s="1"/>
  <c r="AK7" i="130" s="1"/>
  <c r="AC31" i="130"/>
  <c r="AC29" i="130"/>
  <c r="BA1" i="130" s="1"/>
  <c r="G27" i="130"/>
  <c r="G28" i="130" s="1"/>
  <c r="AT27" i="130"/>
  <c r="AT28" i="130" s="1"/>
  <c r="X33" i="130"/>
  <c r="Y33" i="130"/>
  <c r="BA27" i="130"/>
  <c r="BA28" i="130" s="1"/>
  <c r="AV42" i="130"/>
  <c r="AV43" i="130" s="1"/>
  <c r="BA6" i="130"/>
  <c r="AW20" i="130"/>
  <c r="AX20" i="130" s="1"/>
  <c r="AJ1" i="130"/>
  <c r="AK1" i="130" s="1"/>
  <c r="AJ4" i="130"/>
  <c r="AO48" i="130" s="1"/>
  <c r="AW17" i="130"/>
  <c r="AX17" i="130" s="1"/>
  <c r="AB41" i="130"/>
  <c r="AB42" i="130" s="1"/>
  <c r="AD36" i="130"/>
  <c r="AE36" i="130" s="1"/>
  <c r="AZ15" i="130"/>
  <c r="AW15" i="130"/>
  <c r="AV23" i="130"/>
  <c r="AV19" i="130"/>
  <c r="AW24" i="130"/>
  <c r="AX24" i="130" s="1"/>
  <c r="AY20" i="130"/>
  <c r="AD35" i="130"/>
  <c r="AE35" i="130" s="1"/>
  <c r="AZ25" i="130"/>
  <c r="BB25" i="130" s="1"/>
  <c r="AZ17" i="130"/>
  <c r="BB17" i="130" s="1"/>
  <c r="AZ20" i="130"/>
  <c r="BB20" i="130" s="1"/>
  <c r="X26" i="130" l="1"/>
  <c r="Y27" i="130"/>
  <c r="X27" i="130"/>
  <c r="AP34" i="130"/>
  <c r="AU34" i="130" s="1"/>
  <c r="AW34" i="130" s="1"/>
  <c r="BA12" i="130"/>
  <c r="AO37" i="130"/>
  <c r="AP37" i="130"/>
  <c r="T8" i="130"/>
  <c r="S8" i="130" s="1"/>
  <c r="AO56" i="130"/>
  <c r="AK8" i="130"/>
  <c r="AM22" i="130" s="1"/>
  <c r="BA11" i="130"/>
  <c r="AP38" i="130"/>
  <c r="AU38" i="130" s="1"/>
  <c r="AW38" i="130" s="1"/>
  <c r="AO33" i="130"/>
  <c r="AP33" i="130"/>
  <c r="AO41" i="130"/>
  <c r="AU41" i="130" s="1"/>
  <c r="AW41" i="130" s="1"/>
  <c r="AO50" i="130"/>
  <c r="AY27" i="130"/>
  <c r="AY28" i="130" s="1"/>
  <c r="BA7" i="130"/>
  <c r="BA8" i="130"/>
  <c r="AP31" i="130"/>
  <c r="AO31" i="130"/>
  <c r="AD39" i="130"/>
  <c r="AE39" i="130" s="1"/>
  <c r="AD30" i="130"/>
  <c r="AE30" i="130" s="1"/>
  <c r="BA2" i="130"/>
  <c r="AL25" i="130"/>
  <c r="AN25" i="130" s="1"/>
  <c r="AD31" i="130"/>
  <c r="AE31" i="130" s="1"/>
  <c r="BA3" i="130"/>
  <c r="AD32" i="130"/>
  <c r="AE32" i="130" s="1"/>
  <c r="AC41" i="130"/>
  <c r="AC42" i="130" s="1"/>
  <c r="AA2" i="130"/>
  <c r="AX13" i="130"/>
  <c r="AX14" i="130" s="1"/>
  <c r="AO36" i="130"/>
  <c r="AP36" i="130"/>
  <c r="AO39" i="130"/>
  <c r="AP39" i="130"/>
  <c r="AO54" i="130"/>
  <c r="AL24" i="130"/>
  <c r="AN24" i="130" s="1"/>
  <c r="AO24" i="130" s="1"/>
  <c r="AK5" i="130"/>
  <c r="AM19" i="130" s="1"/>
  <c r="AF41" i="130"/>
  <c r="AF42" i="130" s="1"/>
  <c r="AD29" i="130"/>
  <c r="AE29" i="130" s="1"/>
  <c r="AL26" i="130"/>
  <c r="AM26" i="130"/>
  <c r="AJ9" i="130"/>
  <c r="AO53" i="130" s="1"/>
  <c r="AK3" i="130"/>
  <c r="AP32" i="130"/>
  <c r="AO32" i="130"/>
  <c r="AZ27" i="130"/>
  <c r="AZ28" i="130" s="1"/>
  <c r="BB15" i="130"/>
  <c r="AK4" i="130"/>
  <c r="AO51" i="130"/>
  <c r="AM20" i="130"/>
  <c r="AL20" i="130"/>
  <c r="AP35" i="130"/>
  <c r="AO35" i="130"/>
  <c r="AX15" i="130"/>
  <c r="AO40" i="130"/>
  <c r="AP40" i="130"/>
  <c r="AW19" i="130"/>
  <c r="AX19" i="130" s="1"/>
  <c r="AY5" i="130" s="1"/>
  <c r="BA5" i="130"/>
  <c r="AL21" i="130"/>
  <c r="AM21" i="130"/>
  <c r="AW23" i="130"/>
  <c r="AX23" i="130" s="1"/>
  <c r="BA9" i="130"/>
  <c r="AM15" i="130"/>
  <c r="AL15" i="130"/>
  <c r="AK2" i="130"/>
  <c r="AV27" i="130"/>
  <c r="AV28" i="130" s="1"/>
  <c r="AY12" i="130" l="1"/>
  <c r="AL22" i="130"/>
  <c r="AY8" i="130"/>
  <c r="AY9" i="130"/>
  <c r="AY2" i="130"/>
  <c r="AU37" i="130"/>
  <c r="AW37" i="130" s="1"/>
  <c r="AU31" i="130"/>
  <c r="AW31" i="130" s="1"/>
  <c r="AU36" i="130"/>
  <c r="AW36" i="130" s="1"/>
  <c r="AY4" i="130"/>
  <c r="AU33" i="130"/>
  <c r="AW33" i="130" s="1"/>
  <c r="AC2" i="130"/>
  <c r="AY7" i="130"/>
  <c r="AP24" i="130"/>
  <c r="AD41" i="130"/>
  <c r="AD42" i="130" s="1"/>
  <c r="AU32" i="130"/>
  <c r="AW32" i="130" s="1"/>
  <c r="AY10" i="130"/>
  <c r="Z3" i="130"/>
  <c r="AN22" i="130"/>
  <c r="AO22" i="130" s="1"/>
  <c r="AL19" i="130"/>
  <c r="AN19" i="130" s="1"/>
  <c r="AO19" i="130" s="1"/>
  <c r="AU39" i="130"/>
  <c r="AW39" i="130" s="1"/>
  <c r="AW27" i="130"/>
  <c r="AW28" i="130" s="1"/>
  <c r="AY3" i="130"/>
  <c r="AU35" i="130"/>
  <c r="AW35" i="130" s="1"/>
  <c r="AE41" i="130"/>
  <c r="AE42" i="130" s="1"/>
  <c r="BA13" i="130"/>
  <c r="BA14" i="130" s="1"/>
  <c r="AJ13" i="130"/>
  <c r="AJ14" i="130" s="1"/>
  <c r="AL17" i="130"/>
  <c r="AM17" i="130"/>
  <c r="AN26" i="130"/>
  <c r="AN20" i="130"/>
  <c r="AO20" i="130" s="1"/>
  <c r="AK9" i="130"/>
  <c r="AK13" i="130" s="1"/>
  <c r="AK14" i="130" s="1"/>
  <c r="AM18" i="130"/>
  <c r="AL18" i="130"/>
  <c r="AP30" i="130"/>
  <c r="AP42" i="130" s="1"/>
  <c r="AP43" i="130" s="1"/>
  <c r="BB27" i="130"/>
  <c r="BB28" i="130" s="1"/>
  <c r="AO30" i="130"/>
  <c r="AN21" i="130"/>
  <c r="AM16" i="130"/>
  <c r="AL16" i="130"/>
  <c r="AU40" i="130"/>
  <c r="AW40" i="130" s="1"/>
  <c r="AY11" i="130"/>
  <c r="AN15" i="130"/>
  <c r="AO25" i="130"/>
  <c r="AY6" i="130"/>
  <c r="AX27" i="130"/>
  <c r="AX28" i="130" s="1"/>
  <c r="AD2" i="130" l="1"/>
  <c r="AA3" i="130"/>
  <c r="AY1" i="130"/>
  <c r="AY13" i="130" s="1"/>
  <c r="AY14" i="130" s="1"/>
  <c r="AN17" i="130"/>
  <c r="AO17" i="130" s="1"/>
  <c r="AO26" i="130"/>
  <c r="AP25" i="130"/>
  <c r="AM23" i="130"/>
  <c r="AM27" i="130" s="1"/>
  <c r="AM28" i="130" s="1"/>
  <c r="AL23" i="130"/>
  <c r="AL27" i="130" s="1"/>
  <c r="AL28" i="130" s="1"/>
  <c r="AU30" i="130"/>
  <c r="AO42" i="130"/>
  <c r="AO43" i="130" s="1"/>
  <c r="AP20" i="130"/>
  <c r="AO15" i="130"/>
  <c r="AP22" i="130"/>
  <c r="AN16" i="130"/>
  <c r="AO21" i="130"/>
  <c r="AP19" i="130"/>
  <c r="AN18" i="130"/>
  <c r="AC3" i="130" l="1"/>
  <c r="Z4" i="130"/>
  <c r="AA4" i="130" s="1"/>
  <c r="AP17" i="130"/>
  <c r="AP21" i="130"/>
  <c r="AN23" i="130"/>
  <c r="AN27" i="130" s="1"/>
  <c r="AN28" i="130" s="1"/>
  <c r="AP26" i="130"/>
  <c r="AP15" i="130"/>
  <c r="AU42" i="130"/>
  <c r="AU43" i="130" s="1"/>
  <c r="AW30" i="130"/>
  <c r="AO16" i="130"/>
  <c r="AO18" i="130"/>
  <c r="AD3" i="130" l="1"/>
  <c r="AC4" i="130"/>
  <c r="Z5" i="130"/>
  <c r="AA5" i="130" s="1"/>
  <c r="AO23" i="130"/>
  <c r="AP23" i="130" s="1"/>
  <c r="AP18" i="130"/>
  <c r="AP16" i="130"/>
  <c r="AX33" i="130"/>
  <c r="AY33" i="130" s="1"/>
  <c r="AX30" i="130"/>
  <c r="AY30" i="130" s="1"/>
  <c r="AZ30" i="130" s="1"/>
  <c r="AU1" i="130" s="1"/>
  <c r="AW1" i="130" s="1"/>
  <c r="AX35" i="130"/>
  <c r="AY35" i="130" s="1"/>
  <c r="AX32" i="130"/>
  <c r="AY32" i="130" s="1"/>
  <c r="AX40" i="130"/>
  <c r="AY40" i="130" s="1"/>
  <c r="AX37" i="130"/>
  <c r="AY37" i="130" s="1"/>
  <c r="AW42" i="130"/>
  <c r="AW43" i="130" s="1"/>
  <c r="AX31" i="130"/>
  <c r="AY31" i="130" s="1"/>
  <c r="AX36" i="130"/>
  <c r="AY36" i="130" s="1"/>
  <c r="AX34" i="130"/>
  <c r="AY34" i="130" s="1"/>
  <c r="AX39" i="130"/>
  <c r="AY39" i="130" s="1"/>
  <c r="AX38" i="130"/>
  <c r="AY38" i="130" s="1"/>
  <c r="AX41" i="130"/>
  <c r="AY41" i="130" s="1"/>
  <c r="AZ40" i="130" l="1"/>
  <c r="AU11" i="130" s="1"/>
  <c r="AZ33" i="130"/>
  <c r="AU4" i="130" s="1"/>
  <c r="AW4" i="130" s="1"/>
  <c r="Z6" i="130"/>
  <c r="AC5" i="130"/>
  <c r="AD5" i="130" s="1"/>
  <c r="AZ37" i="130"/>
  <c r="AU8" i="130" s="1"/>
  <c r="AW8" i="130" s="1"/>
  <c r="AZ34" i="130"/>
  <c r="AU5" i="130" s="1"/>
  <c r="AW5" i="130" s="1"/>
  <c r="AZ41" i="130"/>
  <c r="AU12" i="130" s="1"/>
  <c r="AW12" i="130" s="1"/>
  <c r="AZ36" i="130"/>
  <c r="AU7" i="130" s="1"/>
  <c r="AW7" i="130" s="1"/>
  <c r="AD4" i="130"/>
  <c r="AV1" i="130"/>
  <c r="AZ39" i="130"/>
  <c r="AU10" i="130" s="1"/>
  <c r="AV10" i="130" s="1"/>
  <c r="AO27" i="130"/>
  <c r="AO28" i="130" s="1"/>
  <c r="AW11" i="130"/>
  <c r="AV11" i="130"/>
  <c r="AA6" i="130"/>
  <c r="AZ38" i="130"/>
  <c r="AU9" i="130" s="1"/>
  <c r="AZ31" i="130"/>
  <c r="AU2" i="130" s="1"/>
  <c r="AZ32" i="130"/>
  <c r="AU3" i="130" s="1"/>
  <c r="AP27" i="130"/>
  <c r="AP28" i="130" s="1"/>
  <c r="AZ35" i="130"/>
  <c r="AU6" i="130" s="1"/>
  <c r="AV4" i="130" l="1"/>
  <c r="AV7" i="130"/>
  <c r="AV8" i="130"/>
  <c r="AV12" i="130"/>
  <c r="AV5" i="130"/>
  <c r="AC6" i="130"/>
  <c r="AW10" i="130"/>
  <c r="AW6" i="130"/>
  <c r="AV6" i="130"/>
  <c r="AW3" i="130"/>
  <c r="AV3" i="130"/>
  <c r="AW2" i="130"/>
  <c r="AV2" i="130"/>
  <c r="Z7" i="130"/>
  <c r="AW9" i="130"/>
  <c r="AV9" i="130"/>
  <c r="AV13" i="130" l="1"/>
  <c r="AV14" i="130" s="1"/>
  <c r="AA7" i="130"/>
  <c r="AD6" i="130"/>
  <c r="Z8" i="130" l="1"/>
  <c r="AC7" i="130"/>
  <c r="AA8" i="130" l="1"/>
  <c r="AD7" i="130"/>
  <c r="AC8" i="130" l="1"/>
  <c r="Z9" i="130"/>
  <c r="AA9" i="130" l="1"/>
  <c r="AD8" i="130"/>
  <c r="AC9" i="130" l="1"/>
  <c r="Z10" i="130"/>
  <c r="AD9" i="130" l="1"/>
  <c r="AA10" i="130"/>
  <c r="Z11" i="130" l="1"/>
  <c r="AC10" i="130"/>
  <c r="AD10" i="130" l="1"/>
  <c r="AA11" i="130"/>
  <c r="Z12" i="130" l="1"/>
  <c r="AC11" i="130"/>
  <c r="AA12" i="130" l="1"/>
  <c r="AD11" i="130"/>
  <c r="AB13" i="130" l="1"/>
  <c r="AC12" i="130"/>
  <c r="AC13" i="130" s="1"/>
  <c r="AD12" i="130" l="1"/>
  <c r="AD13" i="130" s="1"/>
  <c r="AO45" i="130" l="1"/>
  <c r="AO57" i="130" s="1"/>
  <c r="AO58" i="130" s="1"/>
  <c r="AP13" i="130"/>
  <c r="AP14" i="130" s="1"/>
  <c r="E15" i="130"/>
  <c r="AG15" i="130" s="1"/>
  <c r="AE1" i="130"/>
  <c r="AL29" i="130" l="1"/>
  <c r="AJ15" i="130"/>
  <c r="AT1" i="130"/>
  <c r="AD15" i="130"/>
  <c r="AG1" i="130"/>
  <c r="AR15" i="130" l="1"/>
  <c r="AT45" i="130"/>
  <c r="E16" i="130"/>
  <c r="AE2" i="130"/>
  <c r="AJ16" i="130"/>
  <c r="E17" i="130"/>
  <c r="AD17" i="130" s="1"/>
  <c r="AE3" i="130"/>
  <c r="E18" i="130"/>
  <c r="AJ18" i="130" s="1"/>
  <c r="AE4" i="130"/>
  <c r="AD18" i="130"/>
  <c r="AG18" i="130"/>
  <c r="AG4" i="130"/>
  <c r="E19" i="130"/>
  <c r="AD19" i="130" s="1"/>
  <c r="AE5" i="130"/>
  <c r="AG5" i="130"/>
  <c r="AJ19" i="130"/>
  <c r="AL33" i="130"/>
  <c r="AT5" i="130"/>
  <c r="AT49" i="130" s="1"/>
  <c r="E20" i="130"/>
  <c r="AT6" i="130" s="1"/>
  <c r="AT50" i="130" s="1"/>
  <c r="AE6" i="130"/>
  <c r="E21" i="130"/>
  <c r="AE7" i="130"/>
  <c r="E22" i="130"/>
  <c r="AT8" i="130" s="1"/>
  <c r="AT52" i="130" s="1"/>
  <c r="AE8" i="130"/>
  <c r="E23" i="130"/>
  <c r="AD23" i="130" s="1"/>
  <c r="AE9" i="130"/>
  <c r="E24" i="130"/>
  <c r="AT10" i="130" s="1"/>
  <c r="AT54" i="130" s="1"/>
  <c r="AE10" i="130"/>
  <c r="AD24" i="130"/>
  <c r="AG24" i="130"/>
  <c r="AG10" i="130"/>
  <c r="AJ24" i="130"/>
  <c r="E25" i="130"/>
  <c r="AD25" i="130" s="1"/>
  <c r="AE11" i="130"/>
  <c r="AG25" i="130"/>
  <c r="AT11" i="130"/>
  <c r="AT55" i="130" s="1"/>
  <c r="E26" i="130"/>
  <c r="AJ26" i="130" s="1"/>
  <c r="AE12" i="130"/>
  <c r="C27" i="130"/>
  <c r="C28" i="130" s="1"/>
  <c r="AG19" i="130" l="1"/>
  <c r="AL39" i="130"/>
  <c r="AJ25" i="130"/>
  <c r="AG11" i="130"/>
  <c r="AJ22" i="130"/>
  <c r="AG22" i="130"/>
  <c r="AD22" i="130"/>
  <c r="AR19" i="130"/>
  <c r="AR18" i="130"/>
  <c r="AR24" i="130"/>
  <c r="AL37" i="130"/>
  <c r="AJ23" i="130"/>
  <c r="AG9" i="130"/>
  <c r="AJ20" i="130"/>
  <c r="AT9" i="130"/>
  <c r="AT53" i="130" s="1"/>
  <c r="AG23" i="130"/>
  <c r="AG20" i="130"/>
  <c r="AT4" i="130"/>
  <c r="AT48" i="130" s="1"/>
  <c r="AD20" i="130"/>
  <c r="AT3" i="130"/>
  <c r="AT47" i="130" s="1"/>
  <c r="AG3" i="130"/>
  <c r="E27" i="130"/>
  <c r="E28" i="130" s="1"/>
  <c r="AL31" i="130"/>
  <c r="AJ17" i="130"/>
  <c r="AR17" i="130" s="1"/>
  <c r="AE13" i="130"/>
  <c r="AE14" i="130" s="1"/>
  <c r="AG12" i="130"/>
  <c r="AG2" i="130"/>
  <c r="AT12" i="130"/>
  <c r="AT56" i="130" s="1"/>
  <c r="AL36" i="130"/>
  <c r="AG7" i="130"/>
  <c r="AL34" i="130"/>
  <c r="AT7" i="130"/>
  <c r="AT51" i="130" s="1"/>
  <c r="AG16" i="130"/>
  <c r="AG26" i="130"/>
  <c r="AL38" i="130"/>
  <c r="AG21" i="130"/>
  <c r="AL32" i="130"/>
  <c r="AD26" i="130"/>
  <c r="AD16" i="130"/>
  <c r="AJ21" i="130"/>
  <c r="AD21" i="130"/>
  <c r="AL30" i="130"/>
  <c r="AL35" i="130"/>
  <c r="AG17" i="130"/>
  <c r="AL40" i="130"/>
  <c r="AG8" i="130"/>
  <c r="AR22" i="130" s="1"/>
  <c r="AG6" i="130"/>
  <c r="AR25" i="130" l="1"/>
  <c r="AR23" i="130"/>
  <c r="AR20" i="130"/>
  <c r="AL41" i="130"/>
  <c r="AL42" i="130" s="1"/>
  <c r="AR21" i="130"/>
  <c r="AG27" i="130"/>
  <c r="AG28" i="130" s="1"/>
  <c r="AS13" i="130"/>
  <c r="AS14" i="130" s="1"/>
  <c r="T12" i="130" s="1"/>
  <c r="S12" i="130" s="1"/>
  <c r="AT2" i="130"/>
  <c r="AR26" i="130"/>
  <c r="AR16" i="130"/>
  <c r="AD27" i="130"/>
  <c r="AD28" i="130" s="1"/>
  <c r="AG13" i="130"/>
  <c r="AG14" i="130" s="1"/>
  <c r="AJ27" i="130"/>
  <c r="AJ28" i="130" s="1"/>
  <c r="AR27" i="130" l="1"/>
  <c r="AR28" i="130" s="1"/>
  <c r="AT13" i="130"/>
  <c r="AT14" i="130" s="1"/>
  <c r="AT46" i="130"/>
  <c r="AT57" i="130" s="1"/>
  <c r="AT58" i="130" s="1"/>
  <c r="AO13" i="130"/>
  <c r="AO14" i="130" s="1"/>
  <c r="S1" i="130"/>
  <c r="T1" i="130"/>
  <c r="AF1" i="130"/>
  <c r="AH1" i="130"/>
  <c r="AQ1" i="130"/>
  <c r="AZ1" i="130"/>
  <c r="BB1" i="130"/>
  <c r="S2" i="130"/>
  <c r="T2" i="130"/>
  <c r="AF2" i="130"/>
  <c r="AH2" i="130"/>
  <c r="AQ2" i="130"/>
  <c r="AZ2" i="130"/>
  <c r="BB2" i="130"/>
  <c r="S3" i="130"/>
  <c r="T3" i="130"/>
  <c r="AF3" i="130"/>
  <c r="AH3" i="130"/>
  <c r="AQ3" i="130"/>
  <c r="AZ3" i="130"/>
  <c r="BB3" i="130"/>
  <c r="S4" i="130"/>
  <c r="T4" i="130"/>
  <c r="AF4" i="130"/>
  <c r="AH4" i="130"/>
  <c r="AQ4" i="130"/>
  <c r="AZ4" i="130"/>
  <c r="BB4" i="130"/>
  <c r="S5" i="130"/>
  <c r="T5" i="130"/>
  <c r="AF5" i="130"/>
  <c r="AH5" i="130"/>
  <c r="AQ5" i="130"/>
  <c r="AZ5" i="130"/>
  <c r="BB5" i="130"/>
  <c r="S6" i="130"/>
  <c r="T6" i="130"/>
  <c r="AF6" i="130"/>
  <c r="AH6" i="130"/>
  <c r="AQ6" i="130"/>
  <c r="AZ6" i="130"/>
  <c r="BB6" i="130"/>
  <c r="S7" i="130"/>
  <c r="T7" i="130"/>
  <c r="AF7" i="130"/>
  <c r="AH7" i="130"/>
  <c r="AQ7" i="130"/>
  <c r="AZ7" i="130"/>
  <c r="BB7" i="130"/>
  <c r="AF8" i="130"/>
  <c r="AH8" i="130"/>
  <c r="AQ8" i="130"/>
  <c r="AZ8" i="130"/>
  <c r="BB8" i="130"/>
  <c r="S9" i="130"/>
  <c r="T9" i="130"/>
  <c r="AF9" i="130"/>
  <c r="AH9" i="130"/>
  <c r="AQ9" i="130"/>
  <c r="AZ9" i="130"/>
  <c r="BB9" i="130"/>
  <c r="S10" i="130"/>
  <c r="T10" i="130"/>
  <c r="AF10" i="130"/>
  <c r="AH10" i="130"/>
  <c r="AQ10" i="130"/>
  <c r="AZ10" i="130"/>
  <c r="BB10" i="130"/>
  <c r="S11" i="130"/>
  <c r="T11" i="130"/>
  <c r="AF11" i="130"/>
  <c r="AH11" i="130"/>
  <c r="AQ11" i="130"/>
  <c r="AZ11" i="130"/>
  <c r="BB11" i="130"/>
  <c r="AF12" i="130"/>
  <c r="AH12" i="130"/>
  <c r="AQ12" i="130"/>
  <c r="AZ12" i="130"/>
  <c r="BB12" i="130"/>
  <c r="S13" i="130"/>
  <c r="T13" i="130"/>
  <c r="AF13" i="130"/>
  <c r="AH13" i="130"/>
  <c r="AQ13" i="130"/>
  <c r="AZ13" i="130"/>
  <c r="BB13" i="130"/>
  <c r="S14" i="130"/>
  <c r="T14" i="130"/>
  <c r="AF14" i="130"/>
  <c r="AH14" i="130"/>
  <c r="AQ14" i="130"/>
  <c r="AZ14" i="130"/>
  <c r="BB14" i="130"/>
  <c r="A15" i="130"/>
  <c r="D15" i="130"/>
  <c r="F15" i="130"/>
  <c r="H15" i="130"/>
  <c r="L15" i="130"/>
  <c r="M15" i="130"/>
  <c r="N15" i="130"/>
  <c r="S15" i="130"/>
  <c r="T15" i="130"/>
  <c r="AB15" i="130"/>
  <c r="AE15" i="130"/>
  <c r="AH15" i="130"/>
  <c r="AK15" i="130"/>
  <c r="AQ15" i="130"/>
  <c r="AS15" i="130"/>
  <c r="A16" i="130"/>
  <c r="D16" i="130"/>
  <c r="F16" i="130"/>
  <c r="H16" i="130"/>
  <c r="L16" i="130"/>
  <c r="M16" i="130"/>
  <c r="N16" i="130"/>
  <c r="S16" i="130"/>
  <c r="T16" i="130"/>
  <c r="AB16" i="130"/>
  <c r="AE16" i="130"/>
  <c r="AH16" i="130"/>
  <c r="AK16" i="130"/>
  <c r="AQ16" i="130"/>
  <c r="AS16" i="130"/>
  <c r="A17" i="130"/>
  <c r="D17" i="130"/>
  <c r="F17" i="130"/>
  <c r="H17" i="130"/>
  <c r="L17" i="130"/>
  <c r="M17" i="130"/>
  <c r="N17" i="130"/>
  <c r="S17" i="130"/>
  <c r="T17" i="130"/>
  <c r="AB17" i="130"/>
  <c r="AE17" i="130"/>
  <c r="AH17" i="130"/>
  <c r="AK17" i="130"/>
  <c r="AQ17" i="130"/>
  <c r="AS17" i="130"/>
  <c r="A18" i="130"/>
  <c r="D18" i="130"/>
  <c r="F18" i="130"/>
  <c r="H18" i="130"/>
  <c r="L18" i="130"/>
  <c r="M18" i="130"/>
  <c r="N18" i="130"/>
  <c r="S18" i="130"/>
  <c r="T18" i="130"/>
  <c r="AB18" i="130"/>
  <c r="AE18" i="130"/>
  <c r="AH18" i="130"/>
  <c r="AK18" i="130"/>
  <c r="AQ18" i="130"/>
  <c r="AS18" i="130"/>
  <c r="A19" i="130"/>
  <c r="D19" i="130"/>
  <c r="F19" i="130"/>
  <c r="H19" i="130"/>
  <c r="L19" i="130"/>
  <c r="M19" i="130"/>
  <c r="N19" i="130"/>
  <c r="S19" i="130"/>
  <c r="T19" i="130"/>
  <c r="AB19" i="130"/>
  <c r="AE19" i="130"/>
  <c r="AH19" i="130"/>
  <c r="AK19" i="130"/>
  <c r="AQ19" i="130"/>
  <c r="AS19" i="130"/>
  <c r="A20" i="130"/>
  <c r="D20" i="130"/>
  <c r="F20" i="130"/>
  <c r="H20" i="130"/>
  <c r="L20" i="130"/>
  <c r="M20" i="130"/>
  <c r="N20" i="130"/>
  <c r="S20" i="130"/>
  <c r="T20" i="130"/>
  <c r="AB20" i="130"/>
  <c r="AE20" i="130"/>
  <c r="AH20" i="130"/>
  <c r="AK20" i="130"/>
  <c r="AQ20" i="130"/>
  <c r="AS20" i="130"/>
  <c r="A21" i="130"/>
  <c r="D21" i="130"/>
  <c r="F21" i="130"/>
  <c r="H21" i="130"/>
  <c r="L21" i="130"/>
  <c r="M21" i="130"/>
  <c r="N21" i="130"/>
  <c r="AB21" i="130"/>
  <c r="AE21" i="130"/>
  <c r="AH21" i="130"/>
  <c r="AK21" i="130"/>
  <c r="AQ21" i="130"/>
  <c r="AS21" i="130"/>
  <c r="A22" i="130"/>
  <c r="D22" i="130"/>
  <c r="F22" i="130"/>
  <c r="H22" i="130"/>
  <c r="L22" i="130"/>
  <c r="M22" i="130"/>
  <c r="N22" i="130"/>
  <c r="AB22" i="130"/>
  <c r="AE22" i="130"/>
  <c r="AH22" i="130"/>
  <c r="AK22" i="130"/>
  <c r="AQ22" i="130"/>
  <c r="AS22" i="130"/>
  <c r="BC22" i="130"/>
  <c r="BD22" i="130"/>
  <c r="BE22" i="130"/>
  <c r="BF22" i="130"/>
  <c r="BG22" i="130"/>
  <c r="A23" i="130"/>
  <c r="D23" i="130"/>
  <c r="F23" i="130"/>
  <c r="H23" i="130"/>
  <c r="L23" i="130"/>
  <c r="M23" i="130"/>
  <c r="N23" i="130"/>
  <c r="AB23" i="130"/>
  <c r="AE23" i="130"/>
  <c r="AH23" i="130"/>
  <c r="AK23" i="130"/>
  <c r="AQ23" i="130"/>
  <c r="AS23" i="130"/>
  <c r="BC23" i="130"/>
  <c r="BD23" i="130"/>
  <c r="BE23" i="130"/>
  <c r="BF23" i="130"/>
  <c r="BG23" i="130"/>
  <c r="A24" i="130"/>
  <c r="D24" i="130"/>
  <c r="F24" i="130"/>
  <c r="H24" i="130"/>
  <c r="L24" i="130"/>
  <c r="M24" i="130"/>
  <c r="N24" i="130"/>
  <c r="AB24" i="130"/>
  <c r="AE24" i="130"/>
  <c r="AH24" i="130"/>
  <c r="AK24" i="130"/>
  <c r="AQ24" i="130"/>
  <c r="AS24" i="130"/>
  <c r="BC24" i="130"/>
  <c r="BD24" i="130"/>
  <c r="BE24" i="130"/>
  <c r="BF24" i="130"/>
  <c r="BG24" i="130"/>
  <c r="A25" i="130"/>
  <c r="D25" i="130"/>
  <c r="F25" i="130"/>
  <c r="H25" i="130"/>
  <c r="L25" i="130"/>
  <c r="M25" i="130"/>
  <c r="N25" i="130"/>
  <c r="AB25" i="130"/>
  <c r="AE25" i="130"/>
  <c r="AH25" i="130"/>
  <c r="AK25" i="130"/>
  <c r="AQ25" i="130"/>
  <c r="AS25" i="130"/>
  <c r="BC25" i="130"/>
  <c r="BD25" i="130"/>
  <c r="BE25" i="130"/>
  <c r="BF25" i="130"/>
  <c r="BG25" i="130"/>
  <c r="A26" i="130"/>
  <c r="D26" i="130"/>
  <c r="F26" i="130"/>
  <c r="H26" i="130"/>
  <c r="L26" i="130"/>
  <c r="M26" i="130"/>
  <c r="N26" i="130"/>
  <c r="AB26" i="130"/>
  <c r="AE26" i="130"/>
  <c r="AH26" i="130"/>
  <c r="AK26" i="130"/>
  <c r="AQ26" i="130"/>
  <c r="AS26" i="130"/>
  <c r="BC26" i="130"/>
  <c r="BD26" i="130"/>
  <c r="BE26" i="130"/>
  <c r="BF26" i="130"/>
  <c r="BG26" i="130"/>
  <c r="D27" i="130"/>
  <c r="F27" i="130"/>
  <c r="H27" i="130"/>
  <c r="L27" i="130"/>
  <c r="M27" i="130"/>
  <c r="N27" i="130"/>
  <c r="AB27" i="130"/>
  <c r="AE27" i="130"/>
  <c r="AH27" i="130"/>
  <c r="AK27" i="130"/>
  <c r="AQ27" i="130"/>
  <c r="AS27" i="130"/>
  <c r="BC27" i="130"/>
  <c r="BD27" i="130"/>
  <c r="BE27" i="130"/>
  <c r="BF27" i="130"/>
  <c r="BG27" i="130"/>
  <c r="A28" i="130"/>
  <c r="D28" i="130"/>
  <c r="F28" i="130"/>
  <c r="H28" i="130"/>
  <c r="L28" i="130"/>
  <c r="M28" i="130"/>
  <c r="N28" i="130"/>
  <c r="AB28" i="130"/>
  <c r="AE28" i="130"/>
  <c r="AH28" i="130"/>
  <c r="AK28" i="130"/>
  <c r="AQ28" i="130"/>
  <c r="AS28" i="130"/>
  <c r="BC28" i="130"/>
  <c r="BD28" i="130"/>
  <c r="BE28" i="130"/>
  <c r="BF28" i="130"/>
  <c r="BG28" i="130"/>
  <c r="AA29" i="130"/>
  <c r="AG29" i="130"/>
  <c r="AI29" i="130"/>
  <c r="AM29" i="130"/>
  <c r="BB29" i="130"/>
  <c r="BC29" i="130"/>
  <c r="BD29" i="130"/>
  <c r="BE29" i="130"/>
  <c r="BF29" i="130"/>
  <c r="BG29" i="130"/>
  <c r="AA30" i="130"/>
  <c r="AG30" i="130"/>
  <c r="AI30" i="130"/>
  <c r="AM30" i="130"/>
  <c r="BB30" i="130"/>
  <c r="BC30" i="130"/>
  <c r="BD30" i="130"/>
  <c r="BE30" i="130"/>
  <c r="BF30" i="130"/>
  <c r="BG30" i="130"/>
  <c r="AA31" i="130"/>
  <c r="AG31" i="130"/>
  <c r="AI31" i="130"/>
  <c r="AM31" i="130"/>
  <c r="BB31" i="130"/>
  <c r="BC31" i="130"/>
  <c r="BD31" i="130"/>
  <c r="BE31" i="130"/>
  <c r="BF31" i="130"/>
  <c r="BG31" i="130"/>
  <c r="AA32" i="130"/>
  <c r="AG32" i="130"/>
  <c r="AI32" i="130"/>
  <c r="AM32" i="130"/>
  <c r="BB32" i="130"/>
  <c r="BC32" i="130"/>
  <c r="BD32" i="130"/>
  <c r="BE32" i="130"/>
  <c r="BF32" i="130"/>
  <c r="BG32" i="130"/>
  <c r="AA33" i="130"/>
  <c r="AG33" i="130"/>
  <c r="AI33" i="130"/>
  <c r="AM33" i="130"/>
  <c r="BB33" i="130"/>
  <c r="BC33" i="130"/>
  <c r="BD33" i="130"/>
  <c r="BE33" i="130"/>
  <c r="BF33" i="130"/>
  <c r="BG33" i="130"/>
  <c r="AA34" i="130"/>
  <c r="AG34" i="130"/>
  <c r="AI34" i="130"/>
  <c r="AM34" i="130"/>
  <c r="BB34" i="130"/>
  <c r="BC34" i="130"/>
  <c r="BD34" i="130"/>
  <c r="BE34" i="130"/>
  <c r="BF34" i="130"/>
  <c r="BG34" i="130"/>
  <c r="AA35" i="130"/>
  <c r="AG35" i="130"/>
  <c r="AI35" i="130"/>
  <c r="AM35" i="130"/>
  <c r="BB35" i="130"/>
  <c r="BC35" i="130"/>
  <c r="BD35" i="130"/>
  <c r="BE35" i="130"/>
  <c r="BF35" i="130"/>
  <c r="BG35" i="130"/>
  <c r="AA36" i="130"/>
  <c r="AG36" i="130"/>
  <c r="AI36" i="130"/>
  <c r="AM36" i="130"/>
  <c r="BB36" i="130"/>
  <c r="AA37" i="130"/>
  <c r="AG37" i="130"/>
  <c r="AI37" i="130"/>
  <c r="AM37" i="130"/>
  <c r="BB37" i="130"/>
  <c r="AA38" i="130"/>
  <c r="AG38" i="130"/>
  <c r="AI38" i="130"/>
  <c r="AM38" i="130"/>
  <c r="BB38" i="130"/>
  <c r="AA39" i="130"/>
  <c r="AG39" i="130"/>
  <c r="AI39" i="130"/>
  <c r="AM39" i="130"/>
  <c r="BB39" i="130"/>
  <c r="AA40" i="130"/>
  <c r="AG40" i="130"/>
  <c r="AI40" i="130"/>
  <c r="AM40" i="130"/>
  <c r="BB40" i="130"/>
  <c r="AA41" i="130"/>
  <c r="AG41" i="130"/>
  <c r="AI41" i="130"/>
  <c r="AM41" i="130"/>
  <c r="AA42" i="130"/>
  <c r="AG42" i="130"/>
  <c r="AI42" i="130"/>
  <c r="AM42" i="130"/>
  <c r="AM45" i="130"/>
  <c r="AN45" i="130"/>
  <c r="AP45" i="130"/>
  <c r="AQ45" i="130"/>
  <c r="AR45" i="130"/>
  <c r="AS45" i="130"/>
  <c r="AU45" i="130"/>
  <c r="AV45" i="130"/>
  <c r="AW45" i="130"/>
  <c r="AX45" i="130"/>
  <c r="AY45" i="130"/>
  <c r="AZ45" i="130"/>
  <c r="BA45" i="130"/>
  <c r="BB45" i="130"/>
  <c r="AM46" i="130"/>
  <c r="AN46" i="130"/>
  <c r="AP46" i="130"/>
  <c r="AQ46" i="130"/>
  <c r="AR46" i="130"/>
  <c r="AS46" i="130"/>
  <c r="AU46" i="130"/>
  <c r="AV46" i="130"/>
  <c r="AW46" i="130"/>
  <c r="AX46" i="130"/>
  <c r="AY46" i="130"/>
  <c r="AZ46" i="130"/>
  <c r="BA46" i="130"/>
  <c r="BB46" i="130"/>
  <c r="AM47" i="130"/>
  <c r="AN47" i="130"/>
  <c r="AP47" i="130"/>
  <c r="AQ47" i="130"/>
  <c r="AR47" i="130"/>
  <c r="AS47" i="130"/>
  <c r="AU47" i="130"/>
  <c r="AV47" i="130"/>
  <c r="AW47" i="130"/>
  <c r="AX47" i="130"/>
  <c r="AY47" i="130"/>
  <c r="AZ47" i="130"/>
  <c r="BA47" i="130"/>
  <c r="BB47" i="130"/>
  <c r="AM48" i="130"/>
  <c r="AN48" i="130"/>
  <c r="AP48" i="130"/>
  <c r="AQ48" i="130"/>
  <c r="AR48" i="130"/>
  <c r="AS48" i="130"/>
  <c r="AU48" i="130"/>
  <c r="AV48" i="130"/>
  <c r="AW48" i="130"/>
  <c r="AX48" i="130"/>
  <c r="AY48" i="130"/>
  <c r="AZ48" i="130"/>
  <c r="BA48" i="130"/>
  <c r="BB48" i="130"/>
  <c r="AM49" i="130"/>
  <c r="AN49" i="130"/>
  <c r="AP49" i="130"/>
  <c r="AQ49" i="130"/>
  <c r="AR49" i="130"/>
  <c r="AS49" i="130"/>
  <c r="AU49" i="130"/>
  <c r="AV49" i="130"/>
  <c r="AW49" i="130"/>
  <c r="AX49" i="130"/>
  <c r="AY49" i="130"/>
  <c r="AZ49" i="130"/>
  <c r="BA49" i="130"/>
  <c r="BB49" i="130"/>
  <c r="AM50" i="130"/>
  <c r="AN50" i="130"/>
  <c r="AP50" i="130"/>
  <c r="AQ50" i="130"/>
  <c r="AR50" i="130"/>
  <c r="AS50" i="130"/>
  <c r="AU50" i="130"/>
  <c r="AV50" i="130"/>
  <c r="AW50" i="130"/>
  <c r="AX50" i="130"/>
  <c r="AY50" i="130"/>
  <c r="AZ50" i="130"/>
  <c r="BA50" i="130"/>
  <c r="BB50" i="130"/>
  <c r="AM51" i="130"/>
  <c r="AN51" i="130"/>
  <c r="AP51" i="130"/>
  <c r="AQ51" i="130"/>
  <c r="AR51" i="130"/>
  <c r="AS51" i="130"/>
  <c r="AU51" i="130"/>
  <c r="AV51" i="130"/>
  <c r="AW51" i="130"/>
  <c r="AX51" i="130"/>
  <c r="AY51" i="130"/>
  <c r="AZ51" i="130"/>
  <c r="BA51" i="130"/>
  <c r="BB51" i="130"/>
  <c r="AM52" i="130"/>
  <c r="AN52" i="130"/>
  <c r="AP52" i="130"/>
  <c r="AQ52" i="130"/>
  <c r="AR52" i="130"/>
  <c r="AS52" i="130"/>
  <c r="AU52" i="130"/>
  <c r="AV52" i="130"/>
  <c r="AW52" i="130"/>
  <c r="AX52" i="130"/>
  <c r="AY52" i="130"/>
  <c r="AZ52" i="130"/>
  <c r="BA52" i="130"/>
  <c r="BB52" i="130"/>
  <c r="AM53" i="130"/>
  <c r="AN53" i="130"/>
  <c r="AP53" i="130"/>
  <c r="AQ53" i="130"/>
  <c r="AR53" i="130"/>
  <c r="AS53" i="130"/>
  <c r="AU53" i="130"/>
  <c r="AV53" i="130"/>
  <c r="AW53" i="130"/>
  <c r="AX53" i="130"/>
  <c r="AY53" i="130"/>
  <c r="AZ53" i="130"/>
  <c r="BA53" i="130"/>
  <c r="BB53" i="130"/>
  <c r="AM54" i="130"/>
  <c r="AN54" i="130"/>
  <c r="AP54" i="130"/>
  <c r="AQ54" i="130"/>
  <c r="AR54" i="130"/>
  <c r="AS54" i="130"/>
  <c r="AU54" i="130"/>
  <c r="AV54" i="130"/>
  <c r="AW54" i="130"/>
  <c r="AX54" i="130"/>
  <c r="AY54" i="130"/>
  <c r="AZ54" i="130"/>
  <c r="BA54" i="130"/>
  <c r="BB54" i="130"/>
  <c r="AM55" i="130"/>
  <c r="AN55" i="130"/>
  <c r="AP55" i="130"/>
  <c r="AQ55" i="130"/>
  <c r="AR55" i="130"/>
  <c r="AS55" i="130"/>
  <c r="AU55" i="130"/>
  <c r="AV55" i="130"/>
  <c r="AW55" i="130"/>
  <c r="AX55" i="130"/>
  <c r="AY55" i="130"/>
  <c r="AZ55" i="130"/>
  <c r="BA55" i="130"/>
  <c r="BB55" i="130"/>
  <c r="AM56" i="130"/>
  <c r="AN56" i="130"/>
  <c r="AP56" i="130"/>
  <c r="AQ56" i="130"/>
  <c r="AR56" i="130"/>
  <c r="AS56" i="130"/>
  <c r="AU56" i="130"/>
  <c r="AV56" i="130"/>
  <c r="AW56" i="130"/>
  <c r="AX56" i="130"/>
  <c r="AY56" i="130"/>
  <c r="AZ56" i="130"/>
  <c r="BA56" i="130"/>
  <c r="BB56" i="130"/>
  <c r="AM57" i="130"/>
  <c r="AN57" i="130"/>
  <c r="AP57" i="130"/>
  <c r="AQ57" i="130"/>
  <c r="AR57" i="130"/>
  <c r="AS57" i="130"/>
  <c r="AU57" i="130"/>
  <c r="AY57" i="130"/>
  <c r="AZ57" i="130"/>
  <c r="BA57" i="130"/>
  <c r="AM58" i="130"/>
  <c r="AN58" i="130"/>
  <c r="AP58" i="130"/>
  <c r="AQ58" i="130"/>
  <c r="AR58" i="130"/>
  <c r="AS58" i="130"/>
  <c r="AU58" i="130"/>
  <c r="AY58" i="130"/>
  <c r="AZ58" i="130"/>
  <c r="BA58" i="130"/>
</calcChain>
</file>

<file path=xl/sharedStrings.xml><?xml version="1.0" encoding="utf-8"?>
<sst xmlns="http://schemas.openxmlformats.org/spreadsheetml/2006/main" count="610" uniqueCount="95">
  <si>
    <t>-</t>
  </si>
  <si>
    <t>Yok</t>
  </si>
  <si>
    <t>Doğal Afet Yardımı</t>
  </si>
  <si>
    <t>Kıdem Yardımı</t>
  </si>
  <si>
    <t>Sayılar</t>
  </si>
  <si>
    <t>SGK Prim Kesintisi</t>
  </si>
  <si>
    <t>SGK İşsizlik Primi Kesintisi</t>
  </si>
  <si>
    <t>Yemek Yardımı</t>
  </si>
  <si>
    <t>Sosyal Yardım</t>
  </si>
  <si>
    <t>Evlilik Yardımı</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</si>
  <si>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</si>
  <si>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</si>
  <si>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</si>
  <si>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</si>
  <si>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</si>
  <si>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</si>
  <si>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</si>
  <si>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</si>
  <si>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</si>
  <si>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</si>
  <si>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</si>
  <si>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</si>
  <si>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</si>
  <si>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</si>
  <si>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</si>
  <si>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</si>
  <si>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</si>
  <si>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</si>
  <si>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</si>
  <si>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</si>
  <si>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</si>
  <si>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</si>
  <si>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</si>
  <si>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</si>
  <si>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</si>
  <si>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</si>
  <si>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</si>
  <si>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</si>
  <si>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</si>
  <si>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</si>
  <si>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</si>
  <si>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</si>
  <si>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</si>
  <si>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</si>
  <si>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</si>
  <si>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</si>
  <si>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</si>
  <si>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</si>
  <si>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</si>
  <si>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</si>
  <si>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</si>
  <si>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6 iş günü ücretli sosyal izin verilir.
b) İşçilere, gerekli ve geçerli mazeretleri hâlinde işverenin takdirine bağlı olarak yılda 6 aya kadar ücretsiz sosyal izin verilebilir. Genel müdürün uygun görmesi hâlinde 12 aya kadar uzatılabilir.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</si>
  <si>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</si>
  <si>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</si>
  <si>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</si>
  <si>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t>
  </si>
  <si>
    <t>Yıllık Ortalama</t>
  </si>
  <si>
    <t xml:space="preserve">   Yemek Yardımı</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</si>
  <si>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</si>
  <si>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</si>
  <si>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</si>
  <si>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</si>
  <si>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</si>
  <si>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</si>
  <si>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</si>
  <si>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</si>
  <si>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</si>
  <si>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</si>
  <si>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</si>
  <si>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</si>
  <si>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</si>
  <si>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</si>
  <si>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</si>
  <si>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 xml:space="preserve">   BES Kesintisi</t>
  </si>
  <si>
    <t>Toplam</t>
  </si>
  <si>
    <t>Ortalama</t>
  </si>
  <si>
    <t>Fazla Çalışma (% 50)</t>
  </si>
  <si>
    <t>Fazla Sürelerle Çalışma (% 25)</t>
  </si>
  <si>
    <t>Resmi Tatillerde Çalışma (% 100)</t>
  </si>
  <si>
    <r>
      <t xml:space="preserve">   Sonraki Ayın 15'inde
   Fazla Çalışma (Gündüz-Gece-Resmi Tatil)
   Yemek Yardımı
   </t>
    </r>
    <r>
      <rPr>
        <b/>
        <sz val="16"/>
        <rFont val="Calibri"/>
        <family val="2"/>
        <charset val="162"/>
        <scheme val="minor"/>
      </rPr>
      <t>Net</t>
    </r>
  </si>
  <si>
    <t xml:space="preserve">   Engellilik İndirimi</t>
  </si>
  <si>
    <t>Kapsam Dışı</t>
  </si>
  <si>
    <r>
      <t xml:space="preserve">   Günlük Kök Ücret
   </t>
    </r>
    <r>
      <rPr>
        <b/>
        <sz val="16"/>
        <rFont val="Calibri"/>
        <family val="2"/>
        <charset val="162"/>
        <scheme val="minor"/>
      </rPr>
      <t>Brüt</t>
    </r>
  </si>
  <si>
    <r>
      <t xml:space="preserve">   Günlük Kök Ücret
   </t>
    </r>
    <r>
      <rPr>
        <b/>
        <sz val="16"/>
        <rFont val="Calibri"/>
        <family val="2"/>
        <charset val="162"/>
        <scheme val="minor"/>
      </rPr>
      <t>Net</t>
    </r>
  </si>
  <si>
    <r>
      <t xml:space="preserve">   Aylık Kök Ücret
   </t>
    </r>
    <r>
      <rPr>
        <b/>
        <sz val="16"/>
        <rFont val="Calibri"/>
        <family val="2"/>
        <charset val="162"/>
        <scheme val="minor"/>
      </rPr>
      <t>Brüt</t>
    </r>
  </si>
  <si>
    <r>
      <t xml:space="preserve">   Aylık Kök Ücret
   </t>
    </r>
    <r>
      <rPr>
        <b/>
        <sz val="16"/>
        <rFont val="Calibri"/>
        <family val="2"/>
        <charset val="162"/>
        <scheme val="minor"/>
      </rPr>
      <t>Net</t>
    </r>
  </si>
  <si>
    <r>
      <t xml:space="preserve">   Sosyal Yardım
   </t>
    </r>
    <r>
      <rPr>
        <b/>
        <sz val="16"/>
        <rFont val="Calibri"/>
        <family val="2"/>
        <charset val="162"/>
        <scheme val="minor"/>
      </rPr>
      <t>Brüt</t>
    </r>
  </si>
  <si>
    <r>
      <t xml:space="preserve">   Sosyal Yardım
   </t>
    </r>
    <r>
      <rPr>
        <b/>
        <sz val="16"/>
        <rFont val="Calibri"/>
        <family val="2"/>
        <charset val="162"/>
        <scheme val="minor"/>
      </rPr>
      <t>Net</t>
    </r>
  </si>
  <si>
    <t>Gece Çalışma (% 15)</t>
  </si>
  <si>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</si>
  <si>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</si>
  <si>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</si>
  <si>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</si>
  <si>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</si>
  <si>
    <r>
      <t xml:space="preserve">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(6.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t>
    </r>
    <r>
      <rPr>
        <b/>
        <sz val="16"/>
        <color theme="0"/>
        <rFont val="Calibri"/>
        <family val="2"/>
        <charset val="162"/>
        <scheme val="minor"/>
      </rPr>
      <t>50’ye kadar ise 1</t>
    </r>
    <r>
      <rPr>
        <sz val="16"/>
        <color theme="0"/>
        <rFont val="Calibri"/>
        <family val="2"/>
        <charset val="162"/>
        <scheme val="minor"/>
      </rPr>
      <t xml:space="preserve">,
</t>
    </r>
    <r>
      <rPr>
        <b/>
        <sz val="16"/>
        <color theme="0"/>
        <rFont val="Calibri"/>
        <family val="2"/>
        <charset val="162"/>
        <scheme val="minor"/>
      </rPr>
      <t>51 ile 100 arasında</t>
    </r>
    <r>
      <rPr>
        <sz val="16"/>
        <color theme="0"/>
        <rFont val="Calibri"/>
        <family val="2"/>
        <charset val="162"/>
        <scheme val="minor"/>
      </rPr>
      <t xml:space="preserve"> ise </t>
    </r>
    <r>
      <rPr>
        <b/>
        <sz val="16"/>
        <color theme="0"/>
        <rFont val="Calibri"/>
        <family val="2"/>
        <charset val="162"/>
        <scheme val="minor"/>
      </rPr>
      <t>en çok 2</t>
    </r>
    <r>
      <rPr>
        <sz val="16"/>
        <color theme="0"/>
        <rFont val="Calibri"/>
        <family val="2"/>
        <charset val="162"/>
        <scheme val="minor"/>
      </rPr>
      <t xml:space="preserve">,
</t>
    </r>
    <r>
      <rPr>
        <b/>
        <sz val="16"/>
        <color theme="0"/>
        <rFont val="Calibri"/>
        <family val="2"/>
        <charset val="162"/>
        <scheme val="minor"/>
      </rPr>
      <t>101 ile 500 arasında</t>
    </r>
    <r>
      <rPr>
        <sz val="16"/>
        <color theme="0"/>
        <rFont val="Calibri"/>
        <family val="2"/>
        <charset val="162"/>
        <scheme val="minor"/>
      </rPr>
      <t xml:space="preserve"> ise </t>
    </r>
    <r>
      <rPr>
        <b/>
        <sz val="16"/>
        <color theme="0"/>
        <rFont val="Calibri"/>
        <family val="2"/>
        <charset val="162"/>
        <scheme val="minor"/>
      </rPr>
      <t>en çok 3</t>
    </r>
    <r>
      <rPr>
        <sz val="16"/>
        <color theme="0"/>
        <rFont val="Calibri"/>
        <family val="2"/>
        <charset val="162"/>
        <scheme val="minor"/>
      </rPr>
      <t xml:space="preserve">,
</t>
    </r>
    <r>
      <rPr>
        <b/>
        <sz val="16"/>
        <color theme="0"/>
        <rFont val="Calibri"/>
        <family val="2"/>
        <charset val="162"/>
        <scheme val="minor"/>
      </rPr>
      <t>501 ile 1000 arasında</t>
    </r>
    <r>
      <rPr>
        <sz val="16"/>
        <color theme="0"/>
        <rFont val="Calibri"/>
        <family val="2"/>
        <charset val="162"/>
        <scheme val="minor"/>
      </rPr>
      <t xml:space="preserve"> ise </t>
    </r>
    <r>
      <rPr>
        <b/>
        <sz val="16"/>
        <color theme="0"/>
        <rFont val="Calibri"/>
        <family val="2"/>
        <charset val="162"/>
        <scheme val="minor"/>
      </rPr>
      <t>en çok 4</t>
    </r>
    <r>
      <rPr>
        <sz val="16"/>
        <color theme="0"/>
        <rFont val="Calibri"/>
        <family val="2"/>
        <charset val="162"/>
        <scheme val="minor"/>
      </rPr>
      <t xml:space="preserve">,
</t>
    </r>
    <r>
      <rPr>
        <b/>
        <sz val="16"/>
        <color theme="0"/>
        <rFont val="Calibri"/>
        <family val="2"/>
        <charset val="162"/>
        <scheme val="minor"/>
      </rPr>
      <t>1001 ile 2000 arasında</t>
    </r>
    <r>
      <rPr>
        <sz val="16"/>
        <color theme="0"/>
        <rFont val="Calibri"/>
        <family val="2"/>
        <charset val="162"/>
        <scheme val="minor"/>
      </rPr>
      <t xml:space="preserve"> ise </t>
    </r>
    <r>
      <rPr>
        <b/>
        <sz val="16"/>
        <color theme="0"/>
        <rFont val="Calibri"/>
        <family val="2"/>
        <charset val="162"/>
        <scheme val="minor"/>
      </rPr>
      <t>en çok 6</t>
    </r>
    <r>
      <rPr>
        <sz val="16"/>
        <color theme="0"/>
        <rFont val="Calibri"/>
        <family val="2"/>
        <charset val="162"/>
        <scheme val="minor"/>
      </rPr>
      <t xml:space="preserve">,
</t>
    </r>
    <r>
      <rPr>
        <b/>
        <sz val="16"/>
        <color theme="0"/>
        <rFont val="Calibri"/>
        <family val="2"/>
        <charset val="162"/>
        <scheme val="minor"/>
      </rPr>
      <t>2000’den fazla</t>
    </r>
    <r>
      <rPr>
        <sz val="16"/>
        <color theme="0"/>
        <rFont val="Calibri"/>
        <family val="2"/>
        <charset val="162"/>
        <scheme val="minor"/>
      </rPr>
      <t xml:space="preserve"> ise </t>
    </r>
    <r>
      <rPr>
        <b/>
        <sz val="16"/>
        <color theme="0"/>
        <rFont val="Calibri"/>
        <family val="2"/>
        <charset val="162"/>
        <scheme val="minor"/>
      </rPr>
      <t>en çok 8</t>
    </r>
    <r>
      <rPr>
        <sz val="16"/>
        <color theme="0"/>
        <rFont val="Calibri"/>
        <family val="2"/>
        <charset val="162"/>
        <scheme val="minor"/>
      </rPr>
      <t xml:space="preserve"> işyeri sendika temsilcisini işyerinde çalışan üyeleri arasından atayarak </t>
    </r>
    <r>
      <rPr>
        <b/>
        <sz val="16"/>
        <color theme="0"/>
        <rFont val="Calibri"/>
        <family val="2"/>
        <charset val="162"/>
        <scheme val="minor"/>
      </rPr>
      <t>15 gün içinde</t>
    </r>
    <r>
      <rPr>
        <sz val="16"/>
        <color theme="0"/>
        <rFont val="Calibri"/>
        <family val="2"/>
        <charset val="162"/>
        <scheme val="minor"/>
      </rPr>
      <t xml:space="preserve"> kimliklerini işverene bildirir. Bunlardan </t>
    </r>
    <r>
      <rPr>
        <b/>
        <sz val="16"/>
        <color theme="0"/>
        <rFont val="Calibri"/>
        <family val="2"/>
        <charset val="162"/>
        <scheme val="minor"/>
      </rPr>
      <t>biri baş temsilci</t>
    </r>
    <r>
      <rPr>
        <sz val="16"/>
        <color theme="0"/>
        <rFont val="Calibri"/>
        <family val="2"/>
        <charset val="162"/>
        <scheme val="minor"/>
      </rPr>
      <t xml:space="preserve"> olarak görevlendirilebilir. Temsilcilerin görevi, sendikanın yetkisi süresince devam eder.
(6356 sayılı Sendikalar ve Toplu İş Sözleşmesi Kanunu / Madde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</si>
</sst>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 &quot;Gün&quot;"/>
    <numFmt numFmtId="166" formatCode="0\ &quot;Yıl&quot;"/>
    <numFmt numFmtId="167" formatCode="#,##0.00\ &quot;₺&quot;"/>
    <numFmt numFmtId="168" formatCode="0.000000"/>
    <numFmt numFmtId="169" formatCode="%\ 0"/>
    <numFmt numFmtId="170" formatCode="%\ 0.00"/>
    <numFmt numFmtId="171" formatCode="0.0\ &quot;Saat&quot;"/>
    <numFmt numFmtId="172" formatCode="0.0000000"/>
  </numFmts>
  <fonts count="17"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22"/>
      <name val="Calibri"/>
      <family val="2"/>
      <charset val="162"/>
      <scheme val="minor"/>
    </font>
    <font>
      <b/>
      <sz val="22"/>
      <color rgb="FFFF0000"/>
      <name val="Calibri"/>
      <family val="2"/>
      <charset val="162"/>
      <scheme val="minor"/>
    </font>
    <font>
      <sz val="15"/>
      <name val="Calibri"/>
      <family val="2"/>
      <charset val="162"/>
      <scheme val="minor"/>
    </font>
    <font>
      <b/>
      <sz val="14"/>
      <name val="Calibri"/>
      <family val="2"/>
      <charset val="162"/>
      <scheme val="minor"/>
    </font>
    <font>
      <i/>
      <sz val="36"/>
      <name val="Calibri"/>
      <family val="2"/>
      <charset val="162"/>
      <scheme val="minor"/>
    </font>
    <font>
      <sz val="20"/>
      <name val="Calibri"/>
      <family val="2"/>
      <charset val="162"/>
      <scheme val="minor"/>
    </font>
    <font>
      <sz val="16"/>
      <color theme="0"/>
      <name val="Calibri"/>
      <family val="2"/>
      <charset val="162"/>
      <scheme val="minor"/>
    </font>
    <font>
      <b/>
      <sz val="22"/>
      <color theme="0"/>
      <name val="Calibri"/>
      <family val="2"/>
      <charset val="162"/>
      <scheme val="minor"/>
    </font>
    <font>
      <b/>
      <sz val="16"/>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DAEEF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68">
    <xf numFmtId="0" fontId="0" fillId="0" borderId="0" xfId="0"/>
    <xf numFmtId="2" fontId="5" fillId="2" borderId="1" xfId="2" applyNumberFormat="1" applyFont="1" applyFill="1" applyBorder="1" applyAlignment="1" applyProtection="1">
      <alignment horizontal="center" textRotation="90" wrapText="1"/>
      <protection hidden="1"/>
    </xf>
    <xf numFmtId="2" fontId="7" fillId="2" borderId="1" xfId="2" applyNumberFormat="1" applyFont="1" applyFill="1" applyBorder="1" applyAlignment="1" applyProtection="1">
      <alignment horizontal="center" textRotation="90" wrapText="1"/>
      <protection hidden="1"/>
    </xf>
    <xf numFmtId="0" fontId="5" fillId="2" borderId="1"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0" borderId="0" xfId="2" applyFont="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167" fontId="5" fillId="2" borderId="1" xfId="2" applyNumberFormat="1"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4" fontId="5" fillId="2" borderId="1" xfId="2" applyNumberFormat="1" applyFont="1" applyFill="1" applyBorder="1" applyAlignment="1" applyProtection="1">
      <alignment horizontal="center" vertical="center" wrapText="1"/>
      <protection hidden="1"/>
    </xf>
    <xf numFmtId="170" fontId="10" fillId="2" borderId="1" xfId="2" applyNumberFormat="1" applyFont="1" applyFill="1" applyBorder="1" applyAlignment="1" applyProtection="1">
      <alignment horizontal="center" vertical="center" wrapText="1"/>
      <protection hidden="1"/>
    </xf>
    <xf numFmtId="2" fontId="6" fillId="2" borderId="1" xfId="0" applyNumberFormat="1" applyFont="1" applyFill="1" applyBorder="1" applyAlignment="1" applyProtection="1">
      <alignment horizontal="center" vertical="center" wrapText="1"/>
      <protection hidden="1"/>
    </xf>
    <xf numFmtId="167" fontId="13" fillId="4" borderId="1" xfId="2" applyNumberFormat="1" applyFont="1" applyFill="1" applyBorder="1" applyAlignment="1" applyProtection="1">
      <alignment horizontal="center" vertical="center" wrapText="1"/>
      <protection hidden="1"/>
    </xf>
    <xf numFmtId="167" fontId="13" fillId="3" borderId="1" xfId="2" applyNumberFormat="1" applyFont="1" applyFill="1" applyBorder="1" applyAlignment="1" applyProtection="1">
      <alignment horizontal="center" vertical="center" wrapText="1"/>
      <protection hidden="1"/>
    </xf>
    <xf numFmtId="167" fontId="13" fillId="5" borderId="1" xfId="2" applyNumberFormat="1" applyFont="1" applyFill="1" applyBorder="1" applyAlignment="1" applyProtection="1">
      <alignment horizontal="center" vertical="center" wrapText="1"/>
      <protection hidden="1"/>
    </xf>
    <xf numFmtId="167" fontId="8" fillId="4" borderId="1" xfId="2" applyNumberFormat="1" applyFont="1" applyFill="1" applyBorder="1" applyAlignment="1" applyProtection="1">
      <alignment horizontal="center" vertical="center" wrapText="1"/>
      <protection hidden="1"/>
    </xf>
    <xf numFmtId="167" fontId="9" fillId="4" borderId="1" xfId="2" applyNumberFormat="1" applyFont="1" applyFill="1" applyBorder="1" applyAlignment="1" applyProtection="1">
      <alignment horizontal="center" vertical="center" wrapText="1"/>
      <protection hidden="1"/>
    </xf>
    <xf numFmtId="4" fontId="10" fillId="2" borderId="1" xfId="2" applyNumberFormat="1" applyFont="1" applyFill="1" applyBorder="1" applyAlignment="1" applyProtection="1">
      <alignment horizontal="center" vertical="center" wrapText="1"/>
      <protection hidden="1"/>
    </xf>
    <xf numFmtId="4" fontId="11" fillId="2" borderId="1" xfId="2" applyNumberFormat="1" applyFont="1" applyFill="1" applyBorder="1" applyAlignment="1" applyProtection="1">
      <alignment horizontal="center" vertical="center" wrapText="1"/>
      <protection hidden="1"/>
    </xf>
    <xf numFmtId="1" fontId="5" fillId="2" borderId="1" xfId="2" applyNumberFormat="1" applyFont="1" applyFill="1" applyBorder="1" applyAlignment="1" applyProtection="1">
      <alignment horizontal="center" vertical="center" wrapText="1"/>
      <protection hidden="1"/>
    </xf>
    <xf numFmtId="167" fontId="8" fillId="2" borderId="1" xfId="2" applyNumberFormat="1" applyFont="1" applyFill="1" applyBorder="1" applyAlignment="1" applyProtection="1">
      <alignment horizontal="center" vertical="center" wrapText="1"/>
      <protection hidden="1"/>
    </xf>
    <xf numFmtId="167" fontId="9" fillId="2" borderId="1" xfId="2" applyNumberFormat="1"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0" borderId="0" xfId="2" applyFont="1" applyAlignment="1" applyProtection="1">
      <alignment horizontal="right" vertical="center" wrapText="1"/>
      <protection hidden="1"/>
    </xf>
    <xf numFmtId="167" fontId="13" fillId="3" borderId="1" xfId="0" applyNumberFormat="1" applyFont="1" applyFill="1" applyBorder="1" applyAlignment="1" applyProtection="1">
      <alignment horizontal="center" vertical="center" wrapText="1"/>
      <protection locked="0" hidden="1"/>
    </xf>
    <xf numFmtId="167" fontId="13" fillId="3" borderId="1" xfId="2" applyNumberFormat="1" applyFont="1" applyFill="1" applyBorder="1" applyAlignment="1" applyProtection="1">
      <alignment horizontal="center" vertical="center" wrapText="1"/>
      <protection locked="0" hidden="1"/>
    </xf>
    <xf numFmtId="1" fontId="5" fillId="3" borderId="1" xfId="2" applyNumberFormat="1" applyFont="1" applyFill="1" applyBorder="1" applyAlignment="1" applyProtection="1">
      <alignment horizontal="center" vertical="center" wrapText="1"/>
      <protection locked="0" hidden="1"/>
    </xf>
    <xf numFmtId="2" fontId="12" fillId="3" borderId="4" xfId="0" applyNumberFormat="1" applyFont="1" applyFill="1" applyBorder="1" applyAlignment="1" applyProtection="1">
      <alignment horizontal="center" vertical="center" textRotation="90" wrapText="1"/>
      <protection locked="0" hidden="1"/>
    </xf>
    <xf numFmtId="2" fontId="12" fillId="3" borderId="5" xfId="0" applyNumberFormat="1" applyFont="1" applyFill="1" applyBorder="1" applyAlignment="1" applyProtection="1">
      <alignment horizontal="center" vertical="center" textRotation="90" wrapText="1"/>
      <protection locked="0" hidden="1"/>
    </xf>
    <xf numFmtId="2" fontId="12" fillId="3" borderId="6" xfId="0" applyNumberFormat="1" applyFont="1" applyFill="1" applyBorder="1" applyAlignment="1" applyProtection="1">
      <alignment horizontal="center" vertical="center" textRotation="90" wrapText="1"/>
      <protection locked="0" hidden="1"/>
    </xf>
    <xf numFmtId="2" fontId="12" fillId="3" borderId="7" xfId="0" applyNumberFormat="1" applyFont="1" applyFill="1" applyBorder="1" applyAlignment="1" applyProtection="1">
      <alignment horizontal="center" vertical="center" textRotation="90" wrapText="1"/>
      <protection locked="0" hidden="1"/>
    </xf>
    <xf numFmtId="2" fontId="12" fillId="3" borderId="2" xfId="0" applyNumberFormat="1" applyFont="1" applyFill="1" applyBorder="1" applyAlignment="1" applyProtection="1">
      <alignment horizontal="center" vertical="center" textRotation="90" wrapText="1"/>
      <protection locked="0" hidden="1"/>
    </xf>
    <xf numFmtId="2" fontId="12" fillId="3" borderId="3" xfId="0" applyNumberFormat="1" applyFont="1" applyFill="1" applyBorder="1" applyAlignment="1" applyProtection="1">
      <alignment horizontal="center" vertical="center" textRotation="90" wrapText="1"/>
      <protection locked="0" hidden="1"/>
    </xf>
    <xf numFmtId="169" fontId="5" fillId="3" borderId="1" xfId="2" applyNumberFormat="1" applyFont="1" applyFill="1" applyBorder="1" applyAlignment="1" applyProtection="1">
      <alignment horizontal="center" vertical="center" wrapText="1"/>
      <protection locked="0" hidden="1"/>
    </xf>
    <xf numFmtId="0" fontId="5" fillId="3" borderId="1" xfId="2" applyFont="1" applyFill="1" applyBorder="1" applyAlignment="1" applyProtection="1">
      <alignment horizontal="center" vertical="center" textRotation="90" wrapText="1"/>
      <protection locked="0" hidden="1"/>
    </xf>
    <xf numFmtId="0" fontId="14" fillId="0" borderId="0" xfId="2" applyFont="1" applyFill="1" applyBorder="1" applyAlignment="1" applyProtection="1">
      <alignment horizontal="center" vertical="center" wrapText="1"/>
      <protection hidden="1"/>
    </xf>
    <xf numFmtId="167" fontId="14" fillId="0" borderId="0" xfId="2"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textRotation="90" wrapText="1"/>
      <protection hidden="1"/>
    </xf>
    <xf numFmtId="164" fontId="14" fillId="0" borderId="0" xfId="2" applyNumberFormat="1" applyFont="1" applyFill="1" applyBorder="1" applyAlignment="1" applyProtection="1">
      <alignment horizontal="center" vertical="center" wrapText="1"/>
      <protection hidden="1"/>
    </xf>
    <xf numFmtId="164" fontId="14" fillId="0" borderId="0" xfId="0" applyNumberFormat="1" applyFont="1" applyFill="1" applyBorder="1" applyAlignment="1" applyProtection="1">
      <alignment horizontal="center" vertical="center" wrapText="1"/>
      <protection hidden="1"/>
    </xf>
    <xf numFmtId="165" fontId="14" fillId="0" borderId="0" xfId="0" applyNumberFormat="1" applyFont="1" applyFill="1" applyBorder="1" applyAlignment="1" applyProtection="1">
      <alignment horizontal="center" vertical="center" wrapText="1"/>
      <protection hidden="1"/>
    </xf>
    <xf numFmtId="171" fontId="14" fillId="0" borderId="0" xfId="3"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vertical="center" wrapText="1"/>
      <protection hidden="1"/>
    </xf>
    <xf numFmtId="167" fontId="14" fillId="0" borderId="0" xfId="3" applyNumberFormat="1" applyFont="1" applyFill="1" applyBorder="1" applyAlignment="1" applyProtection="1">
      <alignment horizontal="center" vertical="center" wrapText="1"/>
      <protection hidden="1"/>
    </xf>
    <xf numFmtId="168" fontId="14" fillId="0" borderId="0" xfId="2"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textRotation="90" wrapText="1"/>
      <protection hidden="1"/>
    </xf>
    <xf numFmtId="0" fontId="14" fillId="0" borderId="0" xfId="0" applyFont="1" applyFill="1" applyBorder="1" applyAlignment="1" applyProtection="1">
      <alignment horizontal="center" vertical="center" wrapText="1"/>
      <protection hidden="1"/>
    </xf>
    <xf numFmtId="170" fontId="14" fillId="0" borderId="0" xfId="2"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left" vertical="center" wrapText="1"/>
      <protection hidden="1"/>
    </xf>
    <xf numFmtId="0" fontId="14" fillId="0" borderId="0" xfId="3" applyFont="1" applyFill="1" applyBorder="1" applyAlignment="1" applyProtection="1">
      <alignment horizontal="center" vertical="center" wrapText="1"/>
      <protection hidden="1"/>
    </xf>
    <xf numFmtId="2" fontId="14" fillId="0" borderId="0" xfId="3" applyNumberFormat="1" applyFont="1" applyFill="1" applyBorder="1" applyAlignment="1" applyProtection="1">
      <alignment horizontal="center" vertical="center" wrapText="1"/>
      <protection hidden="1"/>
    </xf>
    <xf numFmtId="4" fontId="14" fillId="0" borderId="0" xfId="2" applyNumberFormat="1" applyFont="1" applyFill="1" applyBorder="1" applyAlignment="1" applyProtection="1">
      <alignment horizontal="center" vertical="center" wrapText="1"/>
      <protection hidden="1"/>
    </xf>
    <xf numFmtId="165" fontId="14" fillId="0" borderId="0" xfId="2" applyNumberFormat="1" applyFont="1" applyFill="1" applyBorder="1" applyAlignment="1" applyProtection="1">
      <alignment horizontal="center" vertical="center" wrapText="1"/>
      <protection hidden="1"/>
    </xf>
    <xf numFmtId="171" fontId="14" fillId="0" borderId="0" xfId="2" applyNumberFormat="1" applyFont="1" applyFill="1" applyBorder="1" applyAlignment="1" applyProtection="1">
      <alignment horizontal="center" vertical="center" wrapText="1"/>
      <protection hidden="1"/>
    </xf>
    <xf numFmtId="167" fontId="15" fillId="0" borderId="0" xfId="2" applyNumberFormat="1" applyFont="1" applyFill="1" applyBorder="1" applyAlignment="1" applyProtection="1">
      <alignment horizontal="center" vertical="center" wrapText="1"/>
      <protection hidden="1"/>
    </xf>
    <xf numFmtId="166" fontId="14" fillId="0" borderId="0" xfId="2" applyNumberFormat="1" applyFont="1" applyFill="1" applyBorder="1" applyAlignment="1" applyProtection="1">
      <alignment horizontal="center" vertical="center" wrapText="1"/>
      <protection hidden="1"/>
    </xf>
    <xf numFmtId="3" fontId="14" fillId="0" borderId="0" xfId="2"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right"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0" xfId="2" applyNumberFormat="1" applyFont="1" applyFill="1" applyBorder="1" applyAlignment="1" applyProtection="1">
      <alignment horizontal="center" vertical="center" wrapText="1"/>
      <protection hidden="1"/>
    </xf>
    <xf numFmtId="1" fontId="14" fillId="0" borderId="0" xfId="2" applyNumberFormat="1" applyFont="1" applyFill="1" applyBorder="1" applyAlignment="1" applyProtection="1">
      <alignment horizontal="center" vertical="center" wrapText="1"/>
      <protection hidden="1"/>
    </xf>
    <xf numFmtId="172" fontId="14" fillId="0" borderId="0" xfId="2" applyNumberFormat="1" applyFont="1" applyFill="1" applyBorder="1" applyAlignment="1" applyProtection="1">
      <alignment horizontal="center" vertical="center" wrapText="1"/>
      <protection hidden="1"/>
    </xf>
    <xf numFmtId="169" fontId="14" fillId="0" borderId="0" xfId="2" applyNumberFormat="1" applyFont="1" applyFill="1" applyBorder="1" applyAlignment="1" applyProtection="1">
      <alignment horizontal="center" vertical="center" wrapText="1"/>
      <protection hidden="1"/>
    </xf>
    <xf numFmtId="170" fontId="14" fillId="0" borderId="0" xfId="4"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right" vertical="center" wrapText="1"/>
      <protection hidden="1"/>
    </xf>
    <xf numFmtId="167" fontId="14" fillId="0" borderId="0" xfId="4" applyNumberFormat="1" applyFont="1" applyFill="1" applyBorder="1" applyAlignment="1" applyProtection="1">
      <alignment horizontal="center" vertical="center" wrapText="1"/>
      <protection hidden="1"/>
    </xf>
    <xf numFmtId="49" fontId="14" fillId="0" borderId="0" xfId="3" applyNumberFormat="1" applyFont="1" applyFill="1" applyBorder="1" applyAlignment="1" applyProtection="1">
      <alignment horizontal="center" vertical="center" wrapText="1"/>
      <protection hidden="1"/>
    </xf>
  </cellXfs>
  <cellStyles count="6">
    <cellStyle name="Açıklama Metni" xfId="1" builtinId="53" customBuiltin="1"/>
    <cellStyle name="Normal" xfId="0" builtinId="0"/>
    <cellStyle name="Normal 2" xfId="2" xr:uid="{00000000-0005-0000-0000-000002000000}"/>
    <cellStyle name="Normal 2 2" xfId="3" xr:uid="{00000000-0005-0000-0000-000003000000}"/>
    <cellStyle name="Virgül 2" xfId="5" xr:uid="{00000000-0005-0000-0000-000004000000}"/>
    <cellStyle name="Yüzde 2" xfId="4" xr:uid="{00000000-0005-0000-0000-000005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8E1B4"/>
      <color rgb="FFDAEEF3"/>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0"/>
            <c:invertIfNegative val="0"/>
            <c:bubble3D val="0"/>
            <c:spPr>
              <a:solidFill>
                <a:schemeClr val="tx1"/>
              </a:solidFill>
              <a:ln>
                <a:noFill/>
              </a:ln>
              <a:effectLst/>
            </c:spPr>
            <c:extLst>
              <c:ext xmlns:c16="http://schemas.microsoft.com/office/drawing/2014/chart" uri="{C3380CC4-5D6E-409C-BE32-E72D297353CC}">
                <c16:uniqueId val="{00000035-7CFE-44BF-A422-9711557B250B}"/>
              </c:ext>
            </c:extLst>
          </c:dPt>
          <c:dPt>
            <c:idx val="11"/>
            <c:invertIfNegative val="0"/>
            <c:bubble3D val="0"/>
            <c:spPr>
              <a:solidFill>
                <a:srgbClr val="C00000"/>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chemeClr val="bg1">
                  <a:lumMod val="50000"/>
                </a:schemeClr>
              </a:solidFill>
              <a:ln>
                <a:noFill/>
              </a:ln>
              <a:effectLst/>
            </c:spPr>
            <c:extLst>
              <c:ext xmlns:c16="http://schemas.microsoft.com/office/drawing/2014/chart" uri="{C3380CC4-5D6E-409C-BE32-E72D297353CC}">
                <c16:uniqueId val="{00000036-B11B-4591-90FE-4D23434FBFCF}"/>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Tablo'!$R$1:$R$18</c:f>
              <c:strCache>
                <c:ptCount val="18"/>
                <c:pt idx="0">
                  <c:v>Normal Çalışma</c:v>
                </c:pt>
                <c:pt idx="1">
                  <c:v>Kıdem Yardımı</c:v>
                </c:pt>
                <c:pt idx="2">
                  <c:v>Fazla Çalışma (% 50)</c:v>
                </c:pt>
                <c:pt idx="3">
                  <c:v>Fazla Sürelerle Çalışma (% 25)</c:v>
                </c:pt>
                <c:pt idx="4">
                  <c:v>Resmi Tatillerde Çalışma (% 100)</c:v>
                </c:pt>
                <c:pt idx="5">
                  <c:v>Gece Çalışma (% 15)</c:v>
                </c:pt>
                <c:pt idx="6">
                  <c:v>Yemek Yardımı</c:v>
                </c:pt>
                <c:pt idx="7">
                  <c:v>Ulaşım Yardımı</c:v>
                </c:pt>
                <c:pt idx="8">
                  <c:v>İkramiye Yardımı</c:v>
                </c:pt>
                <c:pt idx="9">
                  <c:v>Sosyal Yardım</c:v>
                </c:pt>
                <c:pt idx="10">
                  <c:v>Nakdi Yardımlar</c:v>
                </c:pt>
                <c:pt idx="11">
                  <c:v>Sendika Üyelik Aidatı Kesintisi</c:v>
                </c:pt>
                <c:pt idx="12">
                  <c:v>BES Kesintisi</c:v>
                </c:pt>
                <c:pt idx="13">
                  <c:v>Damga Vergisi Kesintisi</c:v>
                </c:pt>
                <c:pt idx="14">
                  <c:v>SGK Prim Kesintisi</c:v>
                </c:pt>
                <c:pt idx="15">
                  <c:v>SGK İşsizlik Primi Kesintisi</c:v>
                </c:pt>
                <c:pt idx="16">
                  <c:v>Gelir Vergisi Kesintisi</c:v>
                </c:pt>
                <c:pt idx="17">
                  <c:v>İşveren Maliyeti</c:v>
                </c:pt>
              </c:strCache>
            </c:strRef>
          </c:cat>
          <c:val>
            <c:numRef>
              <c:f>'Özet Tablo'!$S$1:$S$18</c:f>
              <c:numCache>
                <c:formatCode>#,##0.00\ "₺"</c:formatCode>
                <c:ptCount val="18"/>
                <c:pt idx="0">
                  <c:v>28854.497818262596</c:v>
                </c:pt>
                <c:pt idx="1">
                  <c:v>0</c:v>
                </c:pt>
                <c:pt idx="2">
                  <c:v>0</c:v>
                </c:pt>
                <c:pt idx="3">
                  <c:v>0</c:v>
                </c:pt>
                <c:pt idx="4">
                  <c:v>0</c:v>
                </c:pt>
                <c:pt idx="5">
                  <c:v>0</c:v>
                </c:pt>
                <c:pt idx="6">
                  <c:v>4554</c:v>
                </c:pt>
                <c:pt idx="7">
                  <c:v>2094.0277777777778</c:v>
                </c:pt>
                <c:pt idx="8">
                  <c:v>9900.1864849292633</c:v>
                </c:pt>
                <c:pt idx="9">
                  <c:v>3547.9170272771494</c:v>
                </c:pt>
                <c:pt idx="10">
                  <c:v>0</c:v>
                </c:pt>
                <c:pt idx="11">
                  <c:v>0</c:v>
                </c:pt>
                <c:pt idx="12">
                  <c:v>0</c:v>
                </c:pt>
                <c:pt idx="13">
                  <c:v>320.41518265918847</c:v>
                </c:pt>
                <c:pt idx="14">
                  <c:v>9780.5314719744911</c:v>
                </c:pt>
                <c:pt idx="15">
                  <c:v>698.60939085532073</c:v>
                </c:pt>
                <c:pt idx="16">
                  <c:v>9310.7691666666669</c:v>
                </c:pt>
                <c:pt idx="17">
                  <c:v>85069.394034644865</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Tablo'!$R$19:$R$20</c:f>
              <c:strCache>
                <c:ptCount val="2"/>
                <c:pt idx="0">
                  <c:v>Kazançlar</c:v>
                </c:pt>
                <c:pt idx="1">
                  <c:v>Kesintiler</c:v>
                </c:pt>
              </c:strCache>
            </c:strRef>
          </c:cat>
          <c:val>
            <c:numRef>
              <c:f>'Özet Tablo'!$S$19:$S$20</c:f>
              <c:numCache>
                <c:formatCode>#,##0.00\ "₺"</c:formatCode>
                <c:ptCount val="2"/>
                <c:pt idx="0">
                  <c:v>52910.613873376395</c:v>
                </c:pt>
                <c:pt idx="1">
                  <c:v>20110.325212155687</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53463</xdr:colOff>
      <xdr:row>0</xdr:row>
      <xdr:rowOff>70921</xdr:rowOff>
    </xdr:from>
    <xdr:to>
      <xdr:col>15</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4966692</xdr:colOff>
      <xdr:row>8</xdr:row>
      <xdr:rowOff>125886</xdr:rowOff>
    </xdr:from>
    <xdr:to>
      <xdr:col>15</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OW363"/>
  <sheetViews>
    <sheetView showGridLines="0" showRowColHeaders="0" tabSelected="1" showWhiteSpace="0" zoomScale="60" zoomScaleNormal="60" zoomScaleSheetLayoutView="40" zoomScalePageLayoutView="55" workbookViewId="0">
      <pane xSplit="2" topLeftCell="C1" activePane="topRight" state="frozen"/>
      <selection activeCell="A6" sqref="A6"/>
      <selection pane="topRight" sqref="A1:B14"/>
    </sheetView>
  </sheetViews>
  <sheetFormatPr defaultColWidth="0" defaultRowHeight="0" customHeight="1" zeroHeight="1" x14ac:dyDescent="0.25"/>
  <cols>
    <col min="1" max="2" width="12.7109375" style="5" customWidth="1"/>
    <col min="3" max="8" width="25.7109375" style="5" customWidth="1"/>
    <col min="9" max="11" width="12.7109375" style="5" customWidth="1"/>
    <col min="12" max="14" width="30.7109375" style="5" customWidth="1"/>
    <col min="15" max="15" width="12.7109375" style="5" customWidth="1"/>
    <col min="16" max="16" width="110.7109375" style="5" customWidth="1"/>
    <col min="17" max="17" width="1.7109375" style="5" customWidth="1"/>
    <col min="18" max="20" width="0.140625" style="35" customWidth="1"/>
    <col min="21" max="65" width="5.7109375" style="35" hidden="1" customWidth="1"/>
    <col min="66" max="68" width="20.7109375" style="35" hidden="1" customWidth="1"/>
    <col min="69" max="69" width="1.7109375" style="5" customWidth="1"/>
    <col min="70" max="126" width="0" style="5" hidden="1" customWidth="1"/>
    <col min="127" max="413" width="0" style="5" hidden="1"/>
    <col min="414" max="16384" width="5.7109375" style="5" hidden="1"/>
  </cols>
  <sheetData>
    <row r="1" spans="1:68" ht="39.950000000000003" customHeight="1" x14ac:dyDescent="0.25">
      <c r="A1" s="27" t="s">
        <v>81</v>
      </c>
      <c r="B1" s="28"/>
      <c r="C1" s="1" t="s">
        <v>84</v>
      </c>
      <c r="D1" s="1" t="s">
        <v>85</v>
      </c>
      <c r="E1" s="1" t="s">
        <v>82</v>
      </c>
      <c r="F1" s="1" t="s">
        <v>83</v>
      </c>
      <c r="G1" s="1" t="s">
        <v>86</v>
      </c>
      <c r="H1" s="1" t="s">
        <v>87</v>
      </c>
      <c r="I1" s="1" t="s">
        <v>57</v>
      </c>
      <c r="J1" s="1" t="s">
        <v>73</v>
      </c>
      <c r="K1" s="1" t="s">
        <v>80</v>
      </c>
      <c r="L1" s="1" t="s">
        <v>70</v>
      </c>
      <c r="M1" s="1" t="s">
        <v>79</v>
      </c>
      <c r="N1" s="2" t="s">
        <v>68</v>
      </c>
      <c r="O1" s="34" t="s">
        <v>56</v>
      </c>
      <c r="P1" s="3"/>
      <c r="Q1" s="6"/>
      <c r="R1" s="35" t="s">
        <v>30</v>
      </c>
      <c r="S1" s="36">
        <f t="shared" ref="S1:S3" ca="1" si="0">IF(T1&gt;0,T1,T1*-1)</f>
        <v>28854.497818262596</v>
      </c>
      <c r="T1" s="36">
        <f ca="1">COUNTIF(O1,"Ocak")*(D15)
+COUNTIF(O1,"Şubat")*(D16)
+COUNTIF(O1,"Mart")*(D17)
+COUNTIF(O1,"Nisan")*(D18)
+COUNTIF(O1,"Mayıs")*(D19)
+COUNTIF(O1,"Haziran")*(D20)
+COUNTIF(O1,"Temmuz")*(D21)
+COUNTIF(O1,"Ağustos")*(D22)
+COUNTIF(O1,"Eylül")*(D23)
+COUNTIF(O1,"Ekim")*(D24)
+COUNTIF(O1,"Kasım")*(D25)
+COUNTIF(O1,"Aralık")*(D26)
+COUNTIF(O1,"Yıllık Toplam")*(D27)
+COUNTIF(O1,"Yıllık Ortalama")*(D28)</f>
        <v>28854.497818262596</v>
      </c>
      <c r="U1" s="37"/>
      <c r="Z1" s="38">
        <v>45658</v>
      </c>
      <c r="AA1" s="39">
        <f t="shared" ref="AA1:AA12" si="1">EOMONTH(Z1,0)</f>
        <v>45688</v>
      </c>
      <c r="AB1" s="40">
        <v>30</v>
      </c>
      <c r="AC1" s="40">
        <f>NETWORKDAYS.INTL(Z1,AA1,11)</f>
        <v>27</v>
      </c>
      <c r="AD1" s="40">
        <f>(AB1-AC1)</f>
        <v>3</v>
      </c>
      <c r="AE1" s="36">
        <f>C15/30</f>
        <v>1266.6666666666667</v>
      </c>
      <c r="AF1" s="36">
        <f ca="1">(AE1*BB29+AY15/30+AV1/30)</f>
        <v>1022.6553915000002</v>
      </c>
      <c r="AG1" s="36">
        <f>(E15/7.5*2*AI15)</f>
        <v>0</v>
      </c>
      <c r="AH1" s="36">
        <f ca="1">(AG1*BB29)</f>
        <v>0</v>
      </c>
      <c r="AI1" s="41">
        <v>0</v>
      </c>
      <c r="AJ1" s="36">
        <f>IF($X$13*I15&gt;=AF29,AF29,$X$13*I15)</f>
        <v>3160</v>
      </c>
      <c r="AK1" s="36">
        <f>(AF29-AJ1)</f>
        <v>1640</v>
      </c>
      <c r="AL1" s="42" t="s">
        <v>1</v>
      </c>
      <c r="AM1" s="42" t="s">
        <v>1</v>
      </c>
      <c r="AN1" s="42" t="s">
        <v>1</v>
      </c>
      <c r="AO1" s="43">
        <f>COUNTIF(AL1,"Yok")*(0)
+COUNTIF(AL1,"Askerlik Yardımı")*($Y$40)
+COUNTIF(AL1,"Cenaze Yardımı (Anne-Baba)")*($Y$41)
+COUNTIF(AL1,"Cenaze Yardımı (Eş-Çocuk)")*($Y$42)
+COUNTIF(AL1,"Cenaze Yardımı (İşçi-İş Kazası Sonucu)")*($Y$43)
+COUNTIF(AL1,"Cenaze Yardımı (İşçi-Tabii Sebepler Sonucu)")*($Y$44)
+COUNTIF(AL1,"Doğal Afet Yardımı")*($Y$45)
+COUNTIF(AL1,"Eğitim Yardımı (Çocuk-İlköğretim)")*($Y$46)
+COUNTIF(AL1,"Eğitim Yardımı (Çocuk-Ortaöğretim)")*($Y$47)
+COUNTIF(AL1,"Eğitim Yardımı (Çocuk-Lise)")*($Y$48)
+COUNTIF(AL1,"Eğitim Yardımı (Çocuk-Yükseköğretim)")*($Y$49)
+COUNTIF(AL1,"Eğitim Yardımı (İşçi-Lise)")*($Y$50)
+COUNTIF(AL1,"Eğitim Yardımı (İşçi-Yükseköğretim)")*($Y$51)
+COUNTIF(AL1,"Evlilik Yardımı")*($Y$52)
+COUNTIF(AL1,"Gıda Yardımı")*($Y$53)
+COUNTIF(AL1,"İş Kazası veya Meslek Hastalığı Tazminatı")*($Y$54)</f>
        <v>0</v>
      </c>
      <c r="AP1" s="43">
        <f>COUNTIF(AL1,"Yok")*(0)
+COUNTIF(AL1,"Askerlik Yardımı")*(0)
+COUNTIF(AL1,"Cenaze Yardımı (Anne-Baba)")*(0)
+COUNTIF(AL1,"Cenaze Yardımı (Eş-Çocuk)")*(0)
+COUNTIF(AL1,"Cenaze Yardımı (İşçi-İş Kazası Sonucu)")*(0)
+COUNTIF(AL1,"Cenaze Yardımı (İşçi-Tabii Sebepler Sonucu)")*(0)
+COUNTIF(AL1,"Doğal Afet Yardımı")*(0)
+COUNTIF(AL1,"Eğitim Yardımı (Çocuk-İlköğretim)")*(0)
+COUNTIF(AL1,"Eğitim Yardımı (Çocuk-Ortaöğretim)")*(0)
+COUNTIF(AL1,"Eğitim Yardımı (Çocuk-Lise)")*(0)
+COUNTIF(AL1,"Eğitim Yardımı (Çocuk-Yükseköğretim)")*(0)
+COUNTIF(AL1,"Eğitim Yardımı (İşçi-Lise)")*(0)
+COUNTIF(AL1,"Eğitim Yardımı (İşçi-Yükseköğretim)")*(0)
+COUNTIF(AL1,"Evlilik Yardımı")*(0)
+COUNTIF(AL1,"Gıda Yardımı")*(0)
+COUNTIF(AL1,"İş Kazası veya Meslek Hastalığı Tazminatı")*(0)</f>
        <v>0</v>
      </c>
      <c r="AQ1" s="43">
        <f ca="1">(AO1*BB29)</f>
        <v>0</v>
      </c>
      <c r="AR1" s="42" t="s">
        <v>1</v>
      </c>
      <c r="AS1" s="36">
        <v>0</v>
      </c>
      <c r="AT1" s="36">
        <f>(AS1*-1)</f>
        <v>0</v>
      </c>
      <c r="AU1" s="44">
        <f>IF(AZ30=0,AY30,(VLOOKUP($AY30,$AQ$30:$AT$34,2,0)-AX29)/AW30*AY29+(AX30-VLOOKUP($AY30,$AQ$30:$AT$34,2,0))/AW30*AY30)</f>
        <v>0.15</v>
      </c>
      <c r="AV1" s="36">
        <f>(ROUND(AW30*AU1,2)+VLOOKUP(AY30,$AQ$30:$AT$34,4,0))</f>
        <v>3315.7</v>
      </c>
      <c r="AW1" s="44">
        <f>(100+(100*0.00759*-1)+(100*0.01*-1)+(100*0.01*-1)+(100+100*0.14*-1+100*0.01*-1)*AU1*-1)/100</f>
        <v>0.84491000000000005</v>
      </c>
      <c r="AX1" s="36">
        <f>AU15</f>
        <v>26005.5</v>
      </c>
      <c r="AY1" s="36">
        <f>AU15+AX15+AO30+AP30</f>
        <v>22104.674999999999</v>
      </c>
      <c r="AZ1" s="36">
        <f ca="1">(C15+AA15+AD15+AG15+AG1+AJ15+Z29+AI29+AL29+G15+AO1)</f>
        <v>49450.355922190676</v>
      </c>
      <c r="BA1" s="36">
        <f>(AV15+AC29)</f>
        <v>30805.5</v>
      </c>
      <c r="BB1" s="36">
        <f ca="1">(AZ1-BA1)</f>
        <v>18644.855922190676</v>
      </c>
      <c r="BI1" s="45"/>
      <c r="BJ1" s="46" t="s">
        <v>41</v>
      </c>
      <c r="BK1" s="47"/>
      <c r="BL1" s="47"/>
      <c r="BM1" s="47"/>
      <c r="BN1" s="42" t="s">
        <v>4</v>
      </c>
      <c r="BO1" s="42" t="s">
        <v>4</v>
      </c>
      <c r="BP1" s="42" t="s">
        <v>4</v>
      </c>
    </row>
    <row r="2" spans="1:68" ht="39.950000000000003" customHeight="1" x14ac:dyDescent="0.25">
      <c r="A2" s="29"/>
      <c r="B2" s="30"/>
      <c r="C2" s="1"/>
      <c r="D2" s="1"/>
      <c r="E2" s="1"/>
      <c r="F2" s="1"/>
      <c r="G2" s="1"/>
      <c r="H2" s="1"/>
      <c r="I2" s="1"/>
      <c r="J2" s="1"/>
      <c r="K2" s="1"/>
      <c r="L2" s="1"/>
      <c r="M2" s="1"/>
      <c r="N2" s="2"/>
      <c r="O2" s="34"/>
      <c r="P2" s="3"/>
      <c r="Q2" s="8"/>
      <c r="R2" s="35" t="s">
        <v>3</v>
      </c>
      <c r="S2" s="36">
        <f t="shared" ca="1" si="0"/>
        <v>0</v>
      </c>
      <c r="T2" s="36">
        <f ca="1">COUNTIF(O1,"Ocak")*(AB15)
+COUNTIF(O1,"Şubat")*(AB16)
+COUNTIF(O1,"Mart")*(AB17)
+COUNTIF(O1,"Nisan")*(AB18)
+COUNTIF(O1,"Mayıs")*(AB19)
+COUNTIF(O1,"Haziran")*(AB20)
+COUNTIF(O1,"Temmuz")*(AB21)
+COUNTIF(O1,"Ağustos")*(AB22)
+COUNTIF(O1,"Eylül")*(AB23)
+COUNTIF(O1,"Ekim")*(AB24)
+COUNTIF(O1,"Kasım")*(AB25)
+COUNTIF(O1,"Aralık")*(AB26)
+COUNTIF(O1,"Yıllık Toplam")*(AB27)
+COUNTIF(O1,"Yıllık Ortalama")*(AB28)</f>
        <v>0</v>
      </c>
      <c r="U2" s="37"/>
      <c r="V2" s="48">
        <f>(10%)</f>
        <v>0.1</v>
      </c>
      <c r="W2" s="35" t="s">
        <v>0</v>
      </c>
      <c r="X2" s="36">
        <f>($X$8*$V$2)</f>
        <v>2600.5500000000002</v>
      </c>
      <c r="Y2" s="36">
        <f>($Y$8*$V$2)</f>
        <v>2600.5500000000002</v>
      </c>
      <c r="Z2" s="39">
        <f>(AA1+1)</f>
        <v>45689</v>
      </c>
      <c r="AA2" s="39">
        <f t="shared" si="1"/>
        <v>45716</v>
      </c>
      <c r="AB2" s="40">
        <v>30</v>
      </c>
      <c r="AC2" s="40">
        <f t="shared" ref="AC2:AC12" si="2">NETWORKDAYS.INTL(Z2,AA2,11)</f>
        <v>24</v>
      </c>
      <c r="AD2" s="40">
        <f t="shared" ref="AD2:AD12" si="3">(AB2-AC2)</f>
        <v>6</v>
      </c>
      <c r="AE2" s="36">
        <f>C16/30</f>
        <v>1266.6666666666667</v>
      </c>
      <c r="AF2" s="36">
        <f ca="1">(AE2*BB30+AY16/30+AV2/30)</f>
        <v>1022.6553915000002</v>
      </c>
      <c r="AG2" s="36">
        <f>(E16/7.5*2*AI16)</f>
        <v>0</v>
      </c>
      <c r="AH2" s="36">
        <f ca="1">(AG2*BB30)</f>
        <v>0</v>
      </c>
      <c r="AI2" s="41">
        <v>0</v>
      </c>
      <c r="AJ2" s="36">
        <f>IF($X$13*I16&gt;=AF30,AF30,$X$13*I16)</f>
        <v>3160</v>
      </c>
      <c r="AK2" s="36">
        <f>(AF30-AJ2)</f>
        <v>1640</v>
      </c>
      <c r="AL2" s="42" t="s">
        <v>1</v>
      </c>
      <c r="AM2" s="42" t="s">
        <v>1</v>
      </c>
      <c r="AN2" s="42" t="s">
        <v>1</v>
      </c>
      <c r="AO2" s="43">
        <f>COUNTIF(AL2,"Yok")*(0)
+COUNTIF(AL2,"Askerlik Yardımı")*($Y$40)
+COUNTIF(AL2,"Cenaze Yardımı (Anne-Baba)")*($Y$41)
+COUNTIF(AL2,"Cenaze Yardımı (Eş-Çocuk)")*($Y$42)
+COUNTIF(AL2,"Cenaze Yardımı (İşçi-İş Kazası Sonucu)")*($Y$43)
+COUNTIF(AL2,"Cenaze Yardımı (İşçi-Tabii Sebepler Sonucu)")*($Y$44)
+COUNTIF(AL2,"Doğal Afet Yardımı")*($Y$45)
+COUNTIF(AL2,"Eğitim Yardımı (Çocuk-İlköğretim)")*($Y$46)
+COUNTIF(AL2,"Eğitim Yardımı (Çocuk-Ortaöğretim)")*($Y$47)
+COUNTIF(AL2,"Eğitim Yardımı (Çocuk-Lise)")*($Y$48)
+COUNTIF(AL2,"Eğitim Yardımı (Çocuk-Yükseköğretim)")*($Y$49)
+COUNTIF(AL2,"Eğitim Yardımı (İşçi-Lise)")*($Y$50)
+COUNTIF(AL2,"Eğitim Yardımı (İşçi-Yükseköğretim)")*($Y$51)
+COUNTIF(AL2,"Evlilik Yardımı")*($Y$52)
+COUNTIF(AL2,"Gıda Yardımı")*($Y$53)
+COUNTIF(AL2,"İş Kazası veya Meslek Hastalığı Tazminatı")*($Y$54)</f>
        <v>0</v>
      </c>
      <c r="AP2" s="43">
        <f t="shared" ref="AP2:AP12" si="4">COUNTIF(AL2,"Yok")*(0)
+COUNTIF(AL2,"Askerlik Yardımı")*(0)
+COUNTIF(AL2,"Cenaze Yardımı (Anne-Baba)")*(0)
+COUNTIF(AL2,"Cenaze Yardımı (Eş-Çocuk)")*(0)
+COUNTIF(AL2,"Cenaze Yardımı (İşçi-İş Kazası Sonucu)")*(0)
+COUNTIF(AL2,"Cenaze Yardımı (İşçi-Tabii Sebepler Sonucu)")*(0)
+COUNTIF(AL2,"Doğal Afet Yardımı")*(0)
+COUNTIF(AL2,"Eğitim Yardımı (Çocuk-İlköğretim)")*(0)
+COUNTIF(AL2,"Eğitim Yardımı (Çocuk-Ortaöğretim)")*(0)
+COUNTIF(AL2,"Eğitim Yardımı (Çocuk-Lise)")*(0)
+COUNTIF(AL2,"Eğitim Yardımı (Çocuk-Yükseköğretim)")*(0)
+COUNTIF(AL2,"Eğitim Yardımı (İşçi-Lise)")*(0)
+COUNTIF(AL2,"Eğitim Yardımı (İşçi-Yükseköğretim)")*(0)
+COUNTIF(AL2,"Evlilik Yardımı")*(0)
+COUNTIF(AL2,"Gıda Yardımı")*(0)
+COUNTIF(AL2,"İş Kazası veya Meslek Hastalığı Tazminatı")*(0)</f>
        <v>0</v>
      </c>
      <c r="AQ2" s="43">
        <f ca="1">(AO2*BB30)</f>
        <v>0</v>
      </c>
      <c r="AR2" s="42" t="s">
        <v>1</v>
      </c>
      <c r="AS2" s="36">
        <v>0</v>
      </c>
      <c r="AT2" s="36">
        <f t="shared" ref="AT2:AT12" si="5">(AS2*-1)</f>
        <v>0</v>
      </c>
      <c r="AU2" s="44">
        <f>IF(AZ31=0,AY31,(VLOOKUP($AY31,$AQ$30:$AT$34,2,0)-AX30)/AW31*AY30+(AX31-VLOOKUP($AY31,$AQ$30:$AT$34,2,0))/AW31*AY31)</f>
        <v>0.15</v>
      </c>
      <c r="AV2" s="36">
        <f>(ROUND(AW31*AU2,2))</f>
        <v>3315.7</v>
      </c>
      <c r="AW2" s="44">
        <f t="shared" ref="AW2:AW12" si="6">(100+(100*0.00759*-1)+(100*0.01*-1)+(100*0.01*-1)+(100+100*0.14*-1+100*0.01*-1)*AU2*-1)/100</f>
        <v>0.84491000000000005</v>
      </c>
      <c r="AX2" s="36">
        <f>AU16</f>
        <v>26005.5</v>
      </c>
      <c r="AY2" s="36">
        <f>AU16+AX16+AO31+AP31</f>
        <v>22104.674999999999</v>
      </c>
      <c r="AZ2" s="36">
        <f ca="1">(C16+AA16+AD16+AG16+AG2+AJ16+Z30+AI30+AL30+G16+AO2)</f>
        <v>49886.308233204181</v>
      </c>
      <c r="BA2" s="36">
        <f>(AV16+AC30)</f>
        <v>30805.5</v>
      </c>
      <c r="BB2" s="36">
        <f t="shared" ref="BB2:BB12" ca="1" si="7">(AZ2-BA2)</f>
        <v>19080.808233204181</v>
      </c>
      <c r="BI2" s="45"/>
      <c r="BJ2" s="46"/>
      <c r="BK2" s="47"/>
      <c r="BL2" s="49" t="str">
        <f>IF($BJ$1="Analık Hâli İzni",$S$21,
IF($BJ$1="Annelik İzni",$S$22,
IF($BJ$1="Babalık İzni",$S$23,
IF($BJ$1="Cenaze İzni",$S$24,
IF($BJ$1="Doğal Afet İzni",$S$25,
IF($BJ$1="Engelli Çocuk İzni",$S$26,
IF($BJ$1="Evlat Edinme İzni",$S$27,
IF($BJ$1="Evlilik İzni",$S$28,
IF($BJ$1="İş Arama İzni",$S$29,
IF($BJ$1="Mazeret İzni",$S$30,
IF($BJ$1="Süt İzni",$S$31,
IF($BJ$1="Ücretli Sendikal İzin ve Sendika Temsilci Sayısı",$S$32,
IF($BJ$1="Ücretli Yıllık İzin",$S$33,
IF($BJ$1="Yol İzni",$S$34))))))))))))))</f>
        <v>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v>
      </c>
      <c r="BM2" s="47"/>
      <c r="BN2" s="35">
        <v>0</v>
      </c>
      <c r="BO2" s="50">
        <v>0</v>
      </c>
      <c r="BP2" s="51">
        <v>0</v>
      </c>
    </row>
    <row r="3" spans="1:68" ht="39.950000000000003" customHeight="1" x14ac:dyDescent="0.25">
      <c r="A3" s="29"/>
      <c r="B3" s="30"/>
      <c r="C3" s="1"/>
      <c r="D3" s="1"/>
      <c r="E3" s="1"/>
      <c r="F3" s="1"/>
      <c r="G3" s="1"/>
      <c r="H3" s="1"/>
      <c r="I3" s="1"/>
      <c r="J3" s="1"/>
      <c r="K3" s="1"/>
      <c r="L3" s="1"/>
      <c r="M3" s="1"/>
      <c r="N3" s="2"/>
      <c r="O3" s="34"/>
      <c r="P3" s="3"/>
      <c r="Q3" s="8"/>
      <c r="R3" s="35" t="s">
        <v>76</v>
      </c>
      <c r="S3" s="36">
        <f t="shared" ca="1" si="0"/>
        <v>0</v>
      </c>
      <c r="T3" s="36">
        <f ca="1">COUNTIF(O1,"Ocak")*(AE15)
+COUNTIF(O1,"Şubat")*(AE16)
+COUNTIF(O1,"Mart")*(AE17)
+COUNTIF(O1,"Nisan")*(AE18)
+COUNTIF(O1,"Mayıs")*(AE19)
+COUNTIF(O1,"Haziran")*(AE20)
+COUNTIF(O1,"Temmuz")*(AE21)
+COUNTIF(O1,"Ağustos")*(AE22)
+COUNTIF(O1,"Eylül")*(AE23)
+COUNTIF(O1,"Ekim")*(AE24)
+COUNTIF(O1,"Kasım")*(AE25)
+COUNTIF(O1,"Aralık")*(AE26)
+COUNTIF(O1,"Yıllık Toplam")*(AE27)
+COUNTIF(O1,"Yıllık Ortalama")*(AE28)</f>
        <v>0</v>
      </c>
      <c r="U3" s="37"/>
      <c r="V3" s="48">
        <f>(2%)</f>
        <v>0.02</v>
      </c>
      <c r="W3" s="35" t="s">
        <v>0</v>
      </c>
      <c r="X3" s="36">
        <f>($X$8*$V$3)</f>
        <v>520.11</v>
      </c>
      <c r="Y3" s="36">
        <f>($Y$8*$V$3)</f>
        <v>520.11</v>
      </c>
      <c r="Z3" s="39">
        <f t="shared" ref="Z3:Z12" si="8">(AA2+1)</f>
        <v>45717</v>
      </c>
      <c r="AA3" s="39">
        <f t="shared" si="1"/>
        <v>45747</v>
      </c>
      <c r="AB3" s="40">
        <v>30</v>
      </c>
      <c r="AC3" s="40">
        <f t="shared" si="2"/>
        <v>26</v>
      </c>
      <c r="AD3" s="40">
        <f t="shared" si="3"/>
        <v>4</v>
      </c>
      <c r="AE3" s="36">
        <f>C17/30</f>
        <v>1520</v>
      </c>
      <c r="AF3" s="36">
        <f ca="1">(AE3*BB31+AY17/30+AV3/30)</f>
        <v>1201.3368667383941</v>
      </c>
      <c r="AG3" s="36">
        <f>(E17/7.5*2*AI17)</f>
        <v>0</v>
      </c>
      <c r="AH3" s="36">
        <f ca="1">(AG3*BB31)</f>
        <v>0</v>
      </c>
      <c r="AI3" s="41">
        <v>0</v>
      </c>
      <c r="AJ3" s="36">
        <f>IF($X$13*I17&gt;=AF31,AF31,$X$13*I17)</f>
        <v>3160</v>
      </c>
      <c r="AK3" s="36">
        <f>(AF31-AJ3)</f>
        <v>1640</v>
      </c>
      <c r="AL3" s="42" t="s">
        <v>1</v>
      </c>
      <c r="AM3" s="42" t="s">
        <v>1</v>
      </c>
      <c r="AN3" s="42" t="s">
        <v>1</v>
      </c>
      <c r="AO3" s="43">
        <f>COUNTIF(AL3,"Yok")*(0)
+COUNTIF(AL3,"Askerlik Yardımı")*($Y$40)
+COUNTIF(AL3,"Cenaze Yardımı (Anne-Baba)")*($Y$41)
+COUNTIF(AL3,"Cenaze Yardımı (Eş-Çocuk)")*($Y$42)
+COUNTIF(AL3,"Cenaze Yardımı (İşçi-İş Kazası Sonucu)")*($Y$43)
+COUNTIF(AL3,"Cenaze Yardımı (İşçi-Tabii Sebepler Sonucu)")*($Y$44)
+COUNTIF(AL3,"Doğal Afet Yardımı")*($Y$45)
+COUNTIF(AL3,"Eğitim Yardımı (Çocuk-İlköğretim)")*($Y$46)
+COUNTIF(AL3,"Eğitim Yardımı (Çocuk-Ortaöğretim)")*($Y$47)
+COUNTIF(AL3,"Eğitim Yardımı (Çocuk-Lise)")*($Y$48)
+COUNTIF(AL3,"Eğitim Yardımı (Çocuk-Yükseköğretim)")*($Y$49)
+COUNTIF(AL3,"Eğitim Yardımı (İşçi-Lise)")*($Y$50)
+COUNTIF(AL3,"Eğitim Yardımı (İşçi-Yükseköğretim)")*($Y$51)
+COUNTIF(AL3,"Evlilik Yardımı")*($Y$52)
+COUNTIF(AL3,"Gıda Yardımı")*($Y$53)
+COUNTIF(AL3,"İş Kazası veya Meslek Hastalığı Tazminatı")*($Y$54)</f>
        <v>0</v>
      </c>
      <c r="AP3" s="43">
        <f t="shared" si="4"/>
        <v>0</v>
      </c>
      <c r="AQ3" s="43">
        <f ca="1">(AO3*BB31)</f>
        <v>0</v>
      </c>
      <c r="AR3" s="42" t="s">
        <v>1</v>
      </c>
      <c r="AS3" s="36">
        <v>0</v>
      </c>
      <c r="AT3" s="36">
        <f t="shared" si="5"/>
        <v>0</v>
      </c>
      <c r="AU3" s="44">
        <f>IF(AZ32=0,AY32,(VLOOKUP($AY32,$AQ$30:$AT$34,2,0)-AX31)/AW32*AY31+(AX32-VLOOKUP($AY32,$AQ$30:$AT$34,2,0))/AW32*AY32)</f>
        <v>0.15</v>
      </c>
      <c r="AV3" s="36">
        <f>(ROUND(AW32*AU3,2))</f>
        <v>3315.7</v>
      </c>
      <c r="AW3" s="44">
        <f t="shared" si="6"/>
        <v>0.84491000000000005</v>
      </c>
      <c r="AX3" s="36">
        <f>AU17</f>
        <v>26005.5</v>
      </c>
      <c r="AY3" s="36">
        <f>AU17+AX17+AO32+AP32</f>
        <v>22104.674999999999</v>
      </c>
      <c r="AZ3" s="36">
        <f ca="1">(C17+AA17+AD17+AG17+AG3+AJ17+Z31+AI31+AL31+G17+AO3)</f>
        <v>104702.16176949885</v>
      </c>
      <c r="BA3" s="36">
        <f>(AV17+AC31)</f>
        <v>30805.5</v>
      </c>
      <c r="BB3" s="36">
        <f t="shared" ca="1" si="7"/>
        <v>73896.661769498853</v>
      </c>
      <c r="BI3" s="45"/>
      <c r="BJ3" s="46"/>
      <c r="BK3" s="47"/>
      <c r="BL3" s="49"/>
      <c r="BM3" s="47"/>
      <c r="BN3" s="35">
        <v>1</v>
      </c>
      <c r="BO3" s="50">
        <v>0.5</v>
      </c>
      <c r="BP3" s="51">
        <v>0.03</v>
      </c>
    </row>
    <row r="4" spans="1:68" ht="39.950000000000003" customHeight="1" x14ac:dyDescent="0.25">
      <c r="A4" s="29"/>
      <c r="B4" s="30"/>
      <c r="C4" s="1"/>
      <c r="D4" s="1"/>
      <c r="E4" s="1"/>
      <c r="F4" s="1"/>
      <c r="G4" s="1"/>
      <c r="H4" s="1"/>
      <c r="I4" s="1"/>
      <c r="J4" s="1"/>
      <c r="K4" s="1"/>
      <c r="L4" s="1"/>
      <c r="M4" s="1"/>
      <c r="N4" s="2"/>
      <c r="O4" s="34"/>
      <c r="P4" s="3"/>
      <c r="Q4" s="8"/>
      <c r="R4" s="35" t="s">
        <v>77</v>
      </c>
      <c r="S4" s="36">
        <f t="shared" ref="S4" ca="1" si="9">IF(T4&gt;0,T4,T4*-1)</f>
        <v>0</v>
      </c>
      <c r="T4" s="36">
        <f ca="1">COUNTIF(O1,"Ocak")*(AH15)
+COUNTIF(O1,"Şubat")*(AH16)
+COUNTIF(O1,"Mart")*(AH17)
+COUNTIF(O1,"Nisan")*(AH18)
+COUNTIF(O1,"Mayıs")*(AH19)
+COUNTIF(O1,"Haziran")*(AH20)
+COUNTIF(O1,"Temmuz")*(AH21)
+COUNTIF(O1,"Ağustos")*(AH22)
+COUNTIF(O1,"Eylül")*(AH23)
+COUNTIF(O1,"Ekim")*(AH24)
+COUNTIF(O1,"Kasım")*(AH25)
+COUNTIF(O1,"Aralık")*(AH26)
+COUNTIF(O1,"Yıllık Toplam")*(AH27)
+COUNTIF(O1,"Yıllık Ortalama")*(AH28)</f>
        <v>0</v>
      </c>
      <c r="U4" s="37"/>
      <c r="V4" s="48">
        <f>(1%)</f>
        <v>0.01</v>
      </c>
      <c r="W4" s="35" t="s">
        <v>0</v>
      </c>
      <c r="X4" s="36">
        <f>($X$8*$V$4)</f>
        <v>260.05500000000001</v>
      </c>
      <c r="Y4" s="36">
        <f>($Y$8*$V$4)</f>
        <v>260.05500000000001</v>
      </c>
      <c r="Z4" s="39">
        <f t="shared" si="8"/>
        <v>45748</v>
      </c>
      <c r="AA4" s="39">
        <f t="shared" si="1"/>
        <v>45777</v>
      </c>
      <c r="AB4" s="40">
        <v>30</v>
      </c>
      <c r="AC4" s="40">
        <f t="shared" si="2"/>
        <v>26</v>
      </c>
      <c r="AD4" s="40">
        <f t="shared" si="3"/>
        <v>4</v>
      </c>
      <c r="AE4" s="36">
        <f>C18/30</f>
        <v>1520</v>
      </c>
      <c r="AF4" s="36">
        <f ca="1">(AE4*BB32+AY18/30+AV4/30)</f>
        <v>1139.1659248333333</v>
      </c>
      <c r="AG4" s="36">
        <f>(E18/7.5*2*AI18)</f>
        <v>0</v>
      </c>
      <c r="AH4" s="36">
        <f ca="1">(AG4*BB32)</f>
        <v>0</v>
      </c>
      <c r="AI4" s="41">
        <v>0</v>
      </c>
      <c r="AJ4" s="36">
        <f>IF($X$13*I18&gt;=AF32,AF32,$X$13*I18)</f>
        <v>3160</v>
      </c>
      <c r="AK4" s="36">
        <f>(AF32-AJ4)</f>
        <v>1640</v>
      </c>
      <c r="AL4" s="42" t="s">
        <v>1</v>
      </c>
      <c r="AM4" s="42" t="s">
        <v>1</v>
      </c>
      <c r="AN4" s="42" t="s">
        <v>1</v>
      </c>
      <c r="AO4" s="43">
        <f>COUNTIF(AL4,"Yok")*(0)
+COUNTIF(AL4,"Askerlik Yardımı")*($Y$40)
+COUNTIF(AL4,"Cenaze Yardımı (Anne-Baba)")*($Y$41)
+COUNTIF(AL4,"Cenaze Yardımı (Eş-Çocuk)")*($Y$42)
+COUNTIF(AL4,"Cenaze Yardımı (İşçi-İş Kazası Sonucu)")*($Y$43)
+COUNTIF(AL4,"Cenaze Yardımı (İşçi-Tabii Sebepler Sonucu)")*($Y$44)
+COUNTIF(AL4,"Doğal Afet Yardımı")*($Y$45)
+COUNTIF(AL4,"Eğitim Yardımı (Çocuk-İlköğretim)")*($Y$46)
+COUNTIF(AL4,"Eğitim Yardımı (Çocuk-Ortaöğretim)")*($Y$47)
+COUNTIF(AL4,"Eğitim Yardımı (Çocuk-Lise)")*($Y$48)
+COUNTIF(AL4,"Eğitim Yardımı (Çocuk-Yükseköğretim)")*($Y$49)
+COUNTIF(AL4,"Eğitim Yardımı (İşçi-Lise)")*($Y$50)
+COUNTIF(AL4,"Eğitim Yardımı (İşçi-Yükseköğretim)")*($Y$51)
+COUNTIF(AL4,"Evlilik Yardımı")*($Y$52)
+COUNTIF(AL4,"Gıda Yardımı")*($Y$53)
+COUNTIF(AL4,"İş Kazası veya Meslek Hastalığı Tazminatı")*($Y$54)</f>
        <v>0</v>
      </c>
      <c r="AP4" s="43">
        <f t="shared" si="4"/>
        <v>0</v>
      </c>
      <c r="AQ4" s="43">
        <f ca="1">(AO4*BB32)</f>
        <v>0</v>
      </c>
      <c r="AR4" s="42" t="s">
        <v>1</v>
      </c>
      <c r="AS4" s="36">
        <v>0</v>
      </c>
      <c r="AT4" s="36">
        <f t="shared" si="5"/>
        <v>0</v>
      </c>
      <c r="AU4" s="44">
        <f>IF(AZ33=0,AY33,(VLOOKUP($AY33,$AQ$30:$AT$34,2,0)-AX32)/AW33*AY32+(AX33-VLOOKUP($AY33,$AQ$30:$AT$34,2,0))/AW33*AY33)</f>
        <v>0.15</v>
      </c>
      <c r="AV4" s="36">
        <f>(ROUND(AW33*AU4,2))</f>
        <v>3315.7</v>
      </c>
      <c r="AW4" s="44">
        <f t="shared" si="6"/>
        <v>0.84491000000000005</v>
      </c>
      <c r="AX4" s="36">
        <f>AU18</f>
        <v>26005.5</v>
      </c>
      <c r="AY4" s="36">
        <f>AU18+AX18+AO33+AP33</f>
        <v>22104.674999999999</v>
      </c>
      <c r="AZ4" s="36">
        <f ca="1">(C18+AA18+AD18+AG18+AG4+AJ18+Z32+AI32+AL32+G18+AO4)</f>
        <v>59282.948298062198</v>
      </c>
      <c r="BA4" s="36">
        <f>(AV18+AC32)</f>
        <v>30805.5</v>
      </c>
      <c r="BB4" s="36">
        <f t="shared" ca="1" si="7"/>
        <v>28477.448298062198</v>
      </c>
      <c r="BI4" s="45"/>
      <c r="BJ4" s="46"/>
      <c r="BK4" s="47"/>
      <c r="BL4" s="49"/>
      <c r="BM4" s="47"/>
      <c r="BN4" s="35">
        <v>2</v>
      </c>
      <c r="BO4" s="50">
        <v>1</v>
      </c>
      <c r="BP4" s="51">
        <v>0.04</v>
      </c>
    </row>
    <row r="5" spans="1:68" ht="39.950000000000003" customHeight="1" x14ac:dyDescent="0.25">
      <c r="A5" s="29"/>
      <c r="B5" s="30"/>
      <c r="C5" s="1"/>
      <c r="D5" s="1"/>
      <c r="E5" s="1"/>
      <c r="F5" s="1"/>
      <c r="G5" s="1"/>
      <c r="H5" s="1"/>
      <c r="I5" s="1"/>
      <c r="J5" s="1"/>
      <c r="K5" s="1"/>
      <c r="L5" s="1"/>
      <c r="M5" s="1"/>
      <c r="N5" s="2"/>
      <c r="O5" s="34"/>
      <c r="P5" s="3"/>
      <c r="Q5" s="8"/>
      <c r="R5" s="35" t="s">
        <v>78</v>
      </c>
      <c r="S5" s="36">
        <f t="shared" ref="S5:S10" ca="1" si="10">IF(T5&gt;0,T5,T5*-1)</f>
        <v>0</v>
      </c>
      <c r="T5" s="36">
        <f ca="1">COUNTIF(O1,"Ocak")*(AH1)
+COUNTIF(O1,"Şubat")*(AH2)
+COUNTIF(O1,"Mart")*(AH3)
+COUNTIF(O1,"Nisan")*(AH4)
+COUNTIF(O1,"Mayıs")*(AH5)
+COUNTIF(O1,"Haziran")*(AH6)
+COUNTIF(O1,"Temmuz")*(AH7)
+COUNTIF(O1,"Ağustos")*(AH8)
+COUNTIF(O1,"Eylül")*(AH9)
+COUNTIF(O1,"Ekim")*(AH10)
+COUNTIF(O1,"Kasım")*(AH11)
+COUNTIF(O1,"Aralık")*(AH12)
+COUNTIF(O1,"Yıllık Toplam")*(AH13)
+COUNTIF(O1,"Yıllık Ortalama")*(AH14)</f>
        <v>0</v>
      </c>
      <c r="U5" s="37"/>
      <c r="V5" s="35" t="s">
        <v>0</v>
      </c>
      <c r="W5" s="35" t="s">
        <v>0</v>
      </c>
      <c r="X5" s="36">
        <f>($X$16)</f>
        <v>2301.539788</v>
      </c>
      <c r="Y5" s="36">
        <f>($Y$16)</f>
        <v>2301.539788</v>
      </c>
      <c r="Z5" s="39">
        <f t="shared" si="8"/>
        <v>45778</v>
      </c>
      <c r="AA5" s="39">
        <f t="shared" si="1"/>
        <v>45808</v>
      </c>
      <c r="AB5" s="40">
        <v>30</v>
      </c>
      <c r="AC5" s="40">
        <f t="shared" si="2"/>
        <v>27</v>
      </c>
      <c r="AD5" s="40">
        <f t="shared" si="3"/>
        <v>3</v>
      </c>
      <c r="AE5" s="36">
        <f>C19/30</f>
        <v>1520</v>
      </c>
      <c r="AF5" s="36">
        <f ca="1">(AE5*BB33+AY19/30+AV5/30)</f>
        <v>1139.1659248333333</v>
      </c>
      <c r="AG5" s="36">
        <f>(E19/7.5*2*AI19)</f>
        <v>0</v>
      </c>
      <c r="AH5" s="36">
        <f ca="1">(AG5*BB33)</f>
        <v>0</v>
      </c>
      <c r="AI5" s="41">
        <v>0</v>
      </c>
      <c r="AJ5" s="36">
        <f>IF($X$13*I19&gt;=AF33,AF33,$X$13*I19)</f>
        <v>3160</v>
      </c>
      <c r="AK5" s="36">
        <f>(AF33-AJ5)</f>
        <v>1640</v>
      </c>
      <c r="AL5" s="42" t="s">
        <v>1</v>
      </c>
      <c r="AM5" s="42" t="s">
        <v>1</v>
      </c>
      <c r="AN5" s="42" t="s">
        <v>1</v>
      </c>
      <c r="AO5" s="43">
        <f>COUNTIF(AL5,"Yok")*(0)
+COUNTIF(AL5,"Askerlik Yardımı")*($Y$40)
+COUNTIF(AL5,"Cenaze Yardımı (Anne-Baba)")*($Y$41)
+COUNTIF(AL5,"Cenaze Yardımı (Eş-Çocuk)")*($Y$42)
+COUNTIF(AL5,"Cenaze Yardımı (İşçi-İş Kazası Sonucu)")*($Y$43)
+COUNTIF(AL5,"Cenaze Yardımı (İşçi-Tabii Sebepler Sonucu)")*($Y$44)
+COUNTIF(AL5,"Doğal Afet Yardımı")*($Y$45)
+COUNTIF(AL5,"Eğitim Yardımı (Çocuk-İlköğretim)")*($Y$46)
+COUNTIF(AL5,"Eğitim Yardımı (Çocuk-Ortaöğretim)")*($Y$47)
+COUNTIF(AL5,"Eğitim Yardımı (Çocuk-Lise)")*($Y$48)
+COUNTIF(AL5,"Eğitim Yardımı (Çocuk-Yükseköğretim)")*($Y$49)
+COUNTIF(AL5,"Eğitim Yardımı (İşçi-Lise)")*($Y$50)
+COUNTIF(AL5,"Eğitim Yardımı (İşçi-Yükseköğretim)")*($Y$51)
+COUNTIF(AL5,"Evlilik Yardımı")*($Y$52)
+COUNTIF(AL5,"Gıda Yardımı")*($Y$53)
+COUNTIF(AL5,"İş Kazası veya Meslek Hastalığı Tazminatı")*($Y$54)</f>
        <v>0</v>
      </c>
      <c r="AP5" s="43">
        <f t="shared" si="4"/>
        <v>0</v>
      </c>
      <c r="AQ5" s="43">
        <f ca="1">(AO5*BB33)</f>
        <v>0</v>
      </c>
      <c r="AR5" s="42" t="s">
        <v>1</v>
      </c>
      <c r="AS5" s="36">
        <v>0</v>
      </c>
      <c r="AT5" s="36">
        <f t="shared" si="5"/>
        <v>0</v>
      </c>
      <c r="AU5" s="44">
        <f>IF(AZ34=0,AY34,(VLOOKUP($AY34,$AQ$30:$AT$34,2,0)-AX33)/AW34*AY33+(AX34-VLOOKUP($AY34,$AQ$30:$AT$34,2,0))/AW34*AY34)</f>
        <v>0.15</v>
      </c>
      <c r="AV5" s="36">
        <f>(ROUND(AW34*AU5,2))</f>
        <v>3315.7</v>
      </c>
      <c r="AW5" s="44">
        <f t="shared" si="6"/>
        <v>0.84491000000000005</v>
      </c>
      <c r="AX5" s="36">
        <f>AU19</f>
        <v>26005.5</v>
      </c>
      <c r="AY5" s="36">
        <f>AU19+AX19+AO34+AP34</f>
        <v>22104.674999999999</v>
      </c>
      <c r="AZ5" s="36">
        <f ca="1">(C19+AA19+AD19+AG19+AG5+AJ19+Z33+AI33+AL33+G19+AO5)</f>
        <v>59282.948298062198</v>
      </c>
      <c r="BA5" s="36">
        <f>(AV19+AC33)</f>
        <v>30805.5</v>
      </c>
      <c r="BB5" s="36">
        <f t="shared" ca="1" si="7"/>
        <v>28477.448298062198</v>
      </c>
      <c r="BI5" s="45"/>
      <c r="BJ5" s="46"/>
      <c r="BK5" s="47"/>
      <c r="BL5" s="49"/>
      <c r="BM5" s="47"/>
      <c r="BN5" s="35">
        <v>3</v>
      </c>
      <c r="BO5" s="50">
        <v>1.5</v>
      </c>
      <c r="BP5" s="51">
        <v>0.05</v>
      </c>
    </row>
    <row r="6" spans="1:68" ht="39.950000000000003" customHeight="1" x14ac:dyDescent="0.25">
      <c r="A6" s="29"/>
      <c r="B6" s="30"/>
      <c r="C6" s="1"/>
      <c r="D6" s="1"/>
      <c r="E6" s="1"/>
      <c r="F6" s="1"/>
      <c r="G6" s="1"/>
      <c r="H6" s="1"/>
      <c r="I6" s="1"/>
      <c r="J6" s="1"/>
      <c r="K6" s="1"/>
      <c r="L6" s="1"/>
      <c r="M6" s="1"/>
      <c r="N6" s="2"/>
      <c r="O6" s="34"/>
      <c r="P6" s="3"/>
      <c r="Q6" s="8"/>
      <c r="R6" s="35" t="s">
        <v>88</v>
      </c>
      <c r="S6" s="36">
        <f t="shared" ca="1" si="10"/>
        <v>0</v>
      </c>
      <c r="T6" s="36">
        <f ca="1">COUNTIF(O1,"Ocak")*(AK15)
+COUNTIF(O1,"Şubat")*(AK16)
+COUNTIF(O1,"Mart")*(AK17)
+COUNTIF(O1,"Nisan")*(AK18)
+COUNTIF(O1,"Mayıs")*(AK19)
+COUNTIF(O1,"Haziran")*(AK20)
+COUNTIF(O1,"Temmuz")*(AK21)
+COUNTIF(O1,"Ağustos")*(AK22)
+COUNTIF(O1,"Eylül")*(AK23)
+COUNTIF(O1,"Ekim")*(AK24)
+COUNTIF(O1,"Kasım")*(AK25)
+COUNTIF(O1,"Aralık")*(AK26)
+COUNTIF(O1,"Yıllık Toplam")*(AK27)
+COUNTIF(O1,"Yıllık Ortalama")*(AK28)</f>
        <v>0</v>
      </c>
      <c r="U6" s="37"/>
      <c r="V6" s="35" t="s">
        <v>0</v>
      </c>
      <c r="W6" s="35" t="s">
        <v>0</v>
      </c>
      <c r="X6" s="36">
        <f>($X$17)</f>
        <v>506.27800000000002</v>
      </c>
      <c r="Y6" s="36">
        <f>($Y$17)</f>
        <v>506.27800000000002</v>
      </c>
      <c r="Z6" s="39">
        <f t="shared" si="8"/>
        <v>45809</v>
      </c>
      <c r="AA6" s="39">
        <f t="shared" si="1"/>
        <v>45838</v>
      </c>
      <c r="AB6" s="40">
        <v>30</v>
      </c>
      <c r="AC6" s="40">
        <f t="shared" si="2"/>
        <v>25</v>
      </c>
      <c r="AD6" s="40">
        <f t="shared" si="3"/>
        <v>5</v>
      </c>
      <c r="AE6" s="36">
        <f>C20/30</f>
        <v>1520</v>
      </c>
      <c r="AF6" s="36">
        <f ca="1">(AE6*BB34+AY20/30+AV6/30)</f>
        <v>1129.6967768999787</v>
      </c>
      <c r="AG6" s="36">
        <f>(E20/7.5*2*AI20)</f>
        <v>0</v>
      </c>
      <c r="AH6" s="36">
        <f ca="1">(AG6*BB34)</f>
        <v>0</v>
      </c>
      <c r="AI6" s="41">
        <v>0</v>
      </c>
      <c r="AJ6" s="36">
        <f>IF($X$13*I20&gt;=AF34,AF34,$X$13*I20)</f>
        <v>3160</v>
      </c>
      <c r="AK6" s="36">
        <f>(AF34-AJ6)</f>
        <v>1640</v>
      </c>
      <c r="AL6" s="42" t="s">
        <v>1</v>
      </c>
      <c r="AM6" s="42" t="s">
        <v>1</v>
      </c>
      <c r="AN6" s="42" t="s">
        <v>1</v>
      </c>
      <c r="AO6" s="43">
        <f>COUNTIF(AL6,"Yok")*(0)
+COUNTIF(AL6,"Askerlik Yardımı")*($Y$40)
+COUNTIF(AL6,"Cenaze Yardımı (Anne-Baba)")*($Y$41)
+COUNTIF(AL6,"Cenaze Yardımı (Eş-Çocuk)")*($Y$42)
+COUNTIF(AL6,"Cenaze Yardımı (İşçi-İş Kazası Sonucu)")*($Y$43)
+COUNTIF(AL6,"Cenaze Yardımı (İşçi-Tabii Sebepler Sonucu)")*($Y$44)
+COUNTIF(AL6,"Doğal Afet Yardımı")*($Y$45)
+COUNTIF(AL6,"Eğitim Yardımı (Çocuk-İlköğretim)")*($Y$46)
+COUNTIF(AL6,"Eğitim Yardımı (Çocuk-Ortaöğretim)")*($Y$47)
+COUNTIF(AL6,"Eğitim Yardımı (Çocuk-Lise)")*($Y$48)
+COUNTIF(AL6,"Eğitim Yardımı (Çocuk-Yükseköğretim)")*($Y$49)
+COUNTIF(AL6,"Eğitim Yardımı (İşçi-Lise)")*($Y$50)
+COUNTIF(AL6,"Eğitim Yardımı (İşçi-Yükseköğretim)")*($Y$51)
+COUNTIF(AL6,"Evlilik Yardımı")*($Y$52)
+COUNTIF(AL6,"Gıda Yardımı")*($Y$53)
+COUNTIF(AL6,"İş Kazası veya Meslek Hastalığı Tazminatı")*($Y$54)</f>
        <v>0</v>
      </c>
      <c r="AP6" s="43">
        <f t="shared" si="4"/>
        <v>0</v>
      </c>
      <c r="AQ6" s="43">
        <f ca="1">(AO6*BB34)</f>
        <v>0</v>
      </c>
      <c r="AR6" s="42" t="s">
        <v>1</v>
      </c>
      <c r="AS6" s="36">
        <v>0</v>
      </c>
      <c r="AT6" s="36">
        <f t="shared" si="5"/>
        <v>0</v>
      </c>
      <c r="AU6" s="44">
        <f>IF(AZ35=0,AY35,(VLOOKUP($AY35,$AQ$30:$AT$34,2,0)-AX34)/AW35*AY34+(AX35-VLOOKUP($AY35,$AQ$30:$AT$34,2,0))/AW35*AY35)</f>
        <v>0.15</v>
      </c>
      <c r="AV6" s="36">
        <f>(ROUND(AW35*AU6,2))</f>
        <v>3315.7</v>
      </c>
      <c r="AW6" s="44">
        <f t="shared" si="6"/>
        <v>0.84491000000000005</v>
      </c>
      <c r="AX6" s="36">
        <f>AU20</f>
        <v>26005.5</v>
      </c>
      <c r="AY6" s="36">
        <f>AU20+AX20+AO35+AP35</f>
        <v>22104.674999999999</v>
      </c>
      <c r="AZ6" s="36">
        <f ca="1">(C20+AA20+AD20+AG20+AG6+AJ20+Z34+AI34+AL34+G20+AO6)</f>
        <v>104912.43167513059</v>
      </c>
      <c r="BA6" s="36">
        <f>(AV20+AC34)</f>
        <v>30805.5</v>
      </c>
      <c r="BB6" s="36">
        <f t="shared" ca="1" si="7"/>
        <v>74106.931675130589</v>
      </c>
      <c r="BI6" s="45"/>
      <c r="BJ6" s="46"/>
      <c r="BK6" s="47"/>
      <c r="BL6" s="49"/>
      <c r="BM6" s="47"/>
      <c r="BN6" s="35">
        <v>4</v>
      </c>
      <c r="BO6" s="50">
        <v>2</v>
      </c>
      <c r="BP6" s="51">
        <v>0.06</v>
      </c>
    </row>
    <row r="7" spans="1:68" ht="39.950000000000003" customHeight="1" x14ac:dyDescent="0.25">
      <c r="A7" s="29"/>
      <c r="B7" s="30"/>
      <c r="C7" s="1"/>
      <c r="D7" s="1"/>
      <c r="E7" s="1"/>
      <c r="F7" s="1"/>
      <c r="G7" s="1"/>
      <c r="H7" s="1"/>
      <c r="I7" s="1"/>
      <c r="J7" s="1"/>
      <c r="K7" s="1"/>
      <c r="L7" s="1"/>
      <c r="M7" s="1"/>
      <c r="N7" s="2"/>
      <c r="O7" s="34"/>
      <c r="P7" s="3"/>
      <c r="Q7" s="8"/>
      <c r="R7" s="35" t="s">
        <v>7</v>
      </c>
      <c r="S7" s="36">
        <f t="shared" ca="1" si="10"/>
        <v>4554</v>
      </c>
      <c r="T7" s="36">
        <f ca="1">COUNTIF(O1,"Ocak")*(AA29)
+COUNTIF(O1,"Şubat")*(AA30)
+COUNTIF(O1,"Mart")*(AA31)
+COUNTIF(O1,"Nisan")*(AA32)
+COUNTIF(O1,"Mayıs")*(AA33)
+COUNTIF(O1,"Haziran")*(AA34)
+COUNTIF(O1,"Temmuz")*(AA35)
+COUNTIF(O1,"Ağustos")*(AA36)
+COUNTIF(O1,"Eylül")*(AA37)
+COUNTIF(O1,"Ekim")*(AA38)
+COUNTIF(O1,"Kasım")*(AA39)
+COUNTIF(O1,"Aralık")*(AA40)
+COUNTIF(O1,"Yıllık Toplam")*(AA41)
+COUNTIF(O1,"Yıllık Ortalama")*(AA42)</f>
        <v>4554</v>
      </c>
      <c r="U7" s="37"/>
      <c r="V7" s="35" t="s">
        <v>0</v>
      </c>
      <c r="W7" s="35" t="s">
        <v>0</v>
      </c>
      <c r="X7" s="36">
        <f>($X$18)</f>
        <v>253.13900000000001</v>
      </c>
      <c r="Y7" s="36">
        <f>($Y$18)</f>
        <v>253.13900000000001</v>
      </c>
      <c r="Z7" s="39">
        <f t="shared" si="8"/>
        <v>45839</v>
      </c>
      <c r="AA7" s="39">
        <f t="shared" si="1"/>
        <v>45869</v>
      </c>
      <c r="AB7" s="40">
        <v>30</v>
      </c>
      <c r="AC7" s="40">
        <f t="shared" si="2"/>
        <v>27</v>
      </c>
      <c r="AD7" s="40">
        <f t="shared" si="3"/>
        <v>3</v>
      </c>
      <c r="AE7" s="36">
        <f>C21/30</f>
        <v>1520</v>
      </c>
      <c r="AF7" s="36">
        <f ca="1">(AE7*BB35+AY21/30+AV7/30)</f>
        <v>1048.7259248333332</v>
      </c>
      <c r="AG7" s="36">
        <f>(E21/7.5*2*AI21)</f>
        <v>0</v>
      </c>
      <c r="AH7" s="36">
        <f ca="1">(AG7*BB35)</f>
        <v>0</v>
      </c>
      <c r="AI7" s="41">
        <v>0</v>
      </c>
      <c r="AJ7" s="36">
        <f>IF($Y$13*I21&gt;=AF35,AF35,$Y$13*I21)</f>
        <v>3160</v>
      </c>
      <c r="AK7" s="36">
        <f>(AF35-AJ7)</f>
        <v>1640</v>
      </c>
      <c r="AL7" s="42" t="s">
        <v>1</v>
      </c>
      <c r="AM7" s="42" t="s">
        <v>1</v>
      </c>
      <c r="AN7" s="42" t="s">
        <v>1</v>
      </c>
      <c r="AO7" s="43">
        <f>COUNTIF(AL7,"Yok")*(0)
+COUNTIF(AL7,"Askerlik Yardımı")*($Y$40)
+COUNTIF(AL7,"Cenaze Yardımı (Anne-Baba)")*($Y$41)
+COUNTIF(AL7,"Cenaze Yardımı (Eş-Çocuk)")*($Y$42)
+COUNTIF(AL7,"Cenaze Yardımı (İşçi-İş Kazası Sonucu)")*($Y$43)
+COUNTIF(AL7,"Cenaze Yardımı (İşçi-Tabii Sebepler Sonucu)")*($Y$44)
+COUNTIF(AL7,"Doğal Afet Yardımı")*($Y$45)
+COUNTIF(AL7,"Eğitim Yardımı (Çocuk-İlköğretim)")*($Y$46)
+COUNTIF(AL7,"Eğitim Yardımı (Çocuk-Ortaöğretim)")*($Y$47)
+COUNTIF(AL7,"Eğitim Yardımı (Çocuk-Lise)")*($Y$48)
+COUNTIF(AL7,"Eğitim Yardımı (Çocuk-Yükseköğretim)")*($Y$49)
+COUNTIF(AL7,"Eğitim Yardımı (İşçi-Lise)")*($Y$50)
+COUNTIF(AL7,"Eğitim Yardımı (İşçi-Yükseköğretim)")*($Y$51)
+COUNTIF(AL7,"Evlilik Yardımı")*($Y$52)
+COUNTIF(AL7,"Gıda Yardımı")*($Y$53)
+COUNTIF(AL7,"İş Kazası veya Meslek Hastalığı Tazminatı")*($Y$54)</f>
        <v>0</v>
      </c>
      <c r="AP7" s="43">
        <f t="shared" si="4"/>
        <v>0</v>
      </c>
      <c r="AQ7" s="43">
        <f ca="1">(AO7*BB35)</f>
        <v>0</v>
      </c>
      <c r="AR7" s="42" t="s">
        <v>1</v>
      </c>
      <c r="AS7" s="36">
        <v>0</v>
      </c>
      <c r="AT7" s="36">
        <f t="shared" si="5"/>
        <v>0</v>
      </c>
      <c r="AU7" s="44">
        <f>IF(AZ36=0,AY36,(VLOOKUP($AY36,$AQ$30:$AT$34,2,0)-AX35)/AW36*AY35+(AX36-VLOOKUP($AY36,$AQ$30:$AT$34,2,0))/AW36*AY36)</f>
        <v>0.15</v>
      </c>
      <c r="AV7" s="36">
        <f>(ROUND(AW36*AU7,2))</f>
        <v>3315.7</v>
      </c>
      <c r="AW7" s="44">
        <f t="shared" si="6"/>
        <v>0.84491000000000005</v>
      </c>
      <c r="AX7" s="36">
        <f>AU21</f>
        <v>26005.5</v>
      </c>
      <c r="AY7" s="36">
        <f>AU21+AX21+AO36+AP36</f>
        <v>22104.674999999999</v>
      </c>
      <c r="AZ7" s="36">
        <f ca="1">(C21+AA21+AD21+AG21+AG7+AJ21+Z35+AI35+AL35+G21+AO7)</f>
        <v>59589.019138372685</v>
      </c>
      <c r="BA7" s="36">
        <f>(AV21+AC35)</f>
        <v>30805.5</v>
      </c>
      <c r="BB7" s="36">
        <f t="shared" ca="1" si="7"/>
        <v>28783.519138372685</v>
      </c>
      <c r="BI7" s="45"/>
      <c r="BJ7" s="46"/>
      <c r="BK7" s="47"/>
      <c r="BL7" s="49"/>
      <c r="BM7" s="47"/>
      <c r="BN7" s="35">
        <v>5</v>
      </c>
      <c r="BO7" s="50">
        <v>2.5</v>
      </c>
      <c r="BP7" s="51">
        <v>7.0000000000000007E-2</v>
      </c>
    </row>
    <row r="8" spans="1:68" ht="39.950000000000003" customHeight="1" x14ac:dyDescent="0.25">
      <c r="A8" s="29"/>
      <c r="B8" s="30"/>
      <c r="C8" s="1"/>
      <c r="D8" s="1"/>
      <c r="E8" s="1"/>
      <c r="F8" s="1"/>
      <c r="G8" s="1"/>
      <c r="H8" s="1"/>
      <c r="I8" s="1"/>
      <c r="J8" s="1"/>
      <c r="K8" s="1"/>
      <c r="L8" s="1"/>
      <c r="M8" s="1"/>
      <c r="N8" s="2"/>
      <c r="O8" s="34"/>
      <c r="P8" s="3"/>
      <c r="Q8" s="8"/>
      <c r="R8" s="35" t="s">
        <v>29</v>
      </c>
      <c r="S8" s="36">
        <f t="shared" si="10"/>
        <v>2094.0277777777778</v>
      </c>
      <c r="T8" s="36">
        <f>COUNTIF(O1,"Ocak")*(AJ29)
+COUNTIF(O1,"Şubat")*(AJ30)
+COUNTIF(O1,"Mart")*(AJ31)
+COUNTIF(O1,"Nisan")*(AJ32)
+COUNTIF(O1,"Mayıs")*(AJ33)
+COUNTIF(O1,"Haziran")*(AJ34)
+COUNTIF(O1,"Temmuz")*(AJ35)
+COUNTIF(O1,"Ağustos")*(AJ36)
+COUNTIF(O1,"Eylül")*(AJ37)
+COUNTIF(O1,"Ekim")*(AJ38)
+COUNTIF(O1,"Kasım")*(AJ39)
+COUNTIF(O1,"Aralık")*(AJ40)
+COUNTIF(O1,"Yıllık Toplam")*(AJ41)
+COUNTIF(O1,"Yıllık Ortalama")*(AJ42)</f>
        <v>2094.0277777777778</v>
      </c>
      <c r="U8" s="37"/>
      <c r="V8" s="36" t="s">
        <v>0</v>
      </c>
      <c r="W8" s="35" t="s">
        <v>0</v>
      </c>
      <c r="X8" s="36">
        <v>26005.5</v>
      </c>
      <c r="Y8" s="36">
        <v>26005.5</v>
      </c>
      <c r="Z8" s="39">
        <f t="shared" si="8"/>
        <v>45870</v>
      </c>
      <c r="AA8" s="39">
        <f t="shared" si="1"/>
        <v>45900</v>
      </c>
      <c r="AB8" s="40">
        <v>30</v>
      </c>
      <c r="AC8" s="40">
        <f t="shared" si="2"/>
        <v>26</v>
      </c>
      <c r="AD8" s="40">
        <f t="shared" si="3"/>
        <v>4</v>
      </c>
      <c r="AE8" s="36">
        <f>C22/30</f>
        <v>1520</v>
      </c>
      <c r="AF8" s="36">
        <f ca="1">(AE8*BB36+AY22/30+AV8/30)</f>
        <v>1080.1215914999998</v>
      </c>
      <c r="AG8" s="36">
        <f>(E22/7.5*2*AI22)</f>
        <v>0</v>
      </c>
      <c r="AH8" s="36">
        <f ca="1">(AG8*BB36)</f>
        <v>0</v>
      </c>
      <c r="AI8" s="41">
        <v>0</v>
      </c>
      <c r="AJ8" s="36">
        <f>IF($Y$13*I22&gt;=AF36,AF36,$Y$13*I22)</f>
        <v>3160</v>
      </c>
      <c r="AK8" s="36">
        <f>(AF36-AJ8)</f>
        <v>1640</v>
      </c>
      <c r="AL8" s="42" t="s">
        <v>1</v>
      </c>
      <c r="AM8" s="42" t="s">
        <v>1</v>
      </c>
      <c r="AN8" s="42" t="s">
        <v>1</v>
      </c>
      <c r="AO8" s="43">
        <f>COUNTIF(AL8,"Yok")*(0)
+COUNTIF(AL8,"Askerlik Yardımı")*($Y$40)
+COUNTIF(AL8,"Cenaze Yardımı (Anne-Baba)")*($Y$41)
+COUNTIF(AL8,"Cenaze Yardımı (Eş-Çocuk)")*($Y$42)
+COUNTIF(AL8,"Cenaze Yardımı (İşçi-İş Kazası Sonucu)")*($Y$43)
+COUNTIF(AL8,"Cenaze Yardımı (İşçi-Tabii Sebepler Sonucu)")*($Y$44)
+COUNTIF(AL8,"Doğal Afet Yardımı")*($Y$45)
+COUNTIF(AL8,"Eğitim Yardımı (Çocuk-İlköğretim)")*($Y$46)
+COUNTIF(AL8,"Eğitim Yardımı (Çocuk-Ortaöğretim)")*($Y$47)
+COUNTIF(AL8,"Eğitim Yardımı (Çocuk-Lise)")*($Y$48)
+COUNTIF(AL8,"Eğitim Yardımı (Çocuk-Yükseköğretim)")*($Y$49)
+COUNTIF(AL8,"Eğitim Yardımı (İşçi-Lise)")*($Y$50)
+COUNTIF(AL8,"Eğitim Yardımı (İşçi-Yükseköğretim)")*($Y$51)
+COUNTIF(AL8,"Evlilik Yardımı")*($Y$52)
+COUNTIF(AL8,"Gıda Yardımı")*($Y$53)
+COUNTIF(AL8,"İş Kazası veya Meslek Hastalığı Tazminatı")*($Y$54)</f>
        <v>0</v>
      </c>
      <c r="AP8" s="43">
        <f t="shared" si="4"/>
        <v>0</v>
      </c>
      <c r="AQ8" s="43">
        <f ca="1">(AO8*BB36)</f>
        <v>0</v>
      </c>
      <c r="AR8" s="42" t="s">
        <v>1</v>
      </c>
      <c r="AS8" s="36">
        <v>0</v>
      </c>
      <c r="AT8" s="36">
        <f t="shared" si="5"/>
        <v>0</v>
      </c>
      <c r="AU8" s="44">
        <f>IF(AZ37=0,AY37,(VLOOKUP($AY37,$AQ$30:$AT$34,2,0)-AX36)/AW37*AY36+(AX37-VLOOKUP($AY37,$AQ$30:$AT$34,2,0))/AW37*AY37)</f>
        <v>0.19260953847998205</v>
      </c>
      <c r="AV8" s="36">
        <f>(ROUND(AW37*AU8,2))</f>
        <v>4257.57</v>
      </c>
      <c r="AW8" s="44">
        <f t="shared" si="6"/>
        <v>0.80869189229201521</v>
      </c>
      <c r="AX8" s="36">
        <f>AU22</f>
        <v>26005.5</v>
      </c>
      <c r="AY8" s="36">
        <f>AU22+AX22+AO37+AP37</f>
        <v>22104.674999999999</v>
      </c>
      <c r="AZ8" s="36">
        <f ca="1">(C22+AA22+AD22+AG22+AG8+AJ22+Z36+AI36+AL36+G22+AO8)</f>
        <v>59589.019138372685</v>
      </c>
      <c r="BA8" s="36">
        <f>(AV22+AC36)</f>
        <v>30805.5</v>
      </c>
      <c r="BB8" s="36">
        <f t="shared" ca="1" si="7"/>
        <v>28783.519138372685</v>
      </c>
      <c r="BI8" s="45"/>
      <c r="BJ8" s="46"/>
      <c r="BK8" s="47"/>
      <c r="BL8" s="49"/>
      <c r="BM8" s="47"/>
      <c r="BN8" s="35">
        <v>6</v>
      </c>
      <c r="BO8" s="50">
        <v>3</v>
      </c>
      <c r="BP8" s="51">
        <v>0.08</v>
      </c>
    </row>
    <row r="9" spans="1:68" ht="39.950000000000003" customHeight="1" x14ac:dyDescent="0.25">
      <c r="A9" s="29"/>
      <c r="B9" s="30"/>
      <c r="C9" s="1"/>
      <c r="D9" s="1"/>
      <c r="E9" s="1"/>
      <c r="F9" s="1"/>
      <c r="G9" s="1"/>
      <c r="H9" s="1"/>
      <c r="I9" s="1"/>
      <c r="J9" s="1"/>
      <c r="K9" s="1"/>
      <c r="L9" s="1"/>
      <c r="M9" s="1"/>
      <c r="N9" s="2"/>
      <c r="O9" s="34"/>
      <c r="P9" s="3"/>
      <c r="Q9" s="8"/>
      <c r="R9" s="35" t="s">
        <v>34</v>
      </c>
      <c r="S9" s="36">
        <f t="shared" ca="1" si="10"/>
        <v>9900.1864849292633</v>
      </c>
      <c r="T9" s="36">
        <f ca="1">COUNTIF(O1,"Ocak")*(AM29)
+COUNTIF(O1,"Şubat")*(AM30)
+COUNTIF(O1,"Mart")*(AM31)
+COUNTIF(O1,"Nisan")*(AM32)
+COUNTIF(O1,"Mayıs")*(AM33)
+COUNTIF(O1,"Haziran")*(AM34)
+COUNTIF(O1,"Temmuz")*(AM35)
+COUNTIF(O1,"Ağustos")*(AM36)
+COUNTIF(O1,"Eylül")*(AM37)
+COUNTIF(O1,"Ekim")*(AM38)
+COUNTIF(O1,"Kasım")*(AM39)
+COUNTIF(O1,"Aralık")*(AM40)
+COUNTIF(O1,"Yıllık Toplam")*(AM41)
+COUNTIF(O1,"Yıllık Ortalama")*(AM42)</f>
        <v>9900.1864849292633</v>
      </c>
      <c r="U9" s="37"/>
      <c r="V9" s="36" t="s">
        <v>0</v>
      </c>
      <c r="W9" s="35" t="s">
        <v>0</v>
      </c>
      <c r="X9" s="36">
        <v>0</v>
      </c>
      <c r="Y9" s="36">
        <v>0</v>
      </c>
      <c r="Z9" s="39">
        <f t="shared" si="8"/>
        <v>45901</v>
      </c>
      <c r="AA9" s="39">
        <f t="shared" si="1"/>
        <v>45930</v>
      </c>
      <c r="AB9" s="40">
        <v>30</v>
      </c>
      <c r="AC9" s="40">
        <f t="shared" si="2"/>
        <v>26</v>
      </c>
      <c r="AD9" s="40">
        <f t="shared" si="3"/>
        <v>4</v>
      </c>
      <c r="AE9" s="36">
        <f>C23/30</f>
        <v>1520</v>
      </c>
      <c r="AF9" s="36">
        <f ca="1">(AE9*BB37+AY23/30+AV9/30)</f>
        <v>1085.5672581666665</v>
      </c>
      <c r="AG9" s="36">
        <f>(E23/7.5*2*AI23)</f>
        <v>0</v>
      </c>
      <c r="AH9" s="36">
        <f ca="1">(AG9*BB37)</f>
        <v>0</v>
      </c>
      <c r="AI9" s="41">
        <v>0</v>
      </c>
      <c r="AJ9" s="36">
        <f>IF($Y$13*I23&gt;=AF37,AF37,$Y$13*I23)</f>
        <v>3160</v>
      </c>
      <c r="AK9" s="36">
        <f>(AF37-AJ9)</f>
        <v>1640</v>
      </c>
      <c r="AL9" s="42" t="s">
        <v>1</v>
      </c>
      <c r="AM9" s="42" t="s">
        <v>1</v>
      </c>
      <c r="AN9" s="42" t="s">
        <v>1</v>
      </c>
      <c r="AO9" s="43">
        <f>COUNTIF(AL9,"Yok")*(0)
+COUNTIF(AL9,"Askerlik Yardımı")*($Y$40)
+COUNTIF(AL9,"Cenaze Yardımı (Anne-Baba)")*($Y$41)
+COUNTIF(AL9,"Cenaze Yardımı (Eş-Çocuk)")*($Y$42)
+COUNTIF(AL9,"Cenaze Yardımı (İşçi-İş Kazası Sonucu)")*($Y$43)
+COUNTIF(AL9,"Cenaze Yardımı (İşçi-Tabii Sebepler Sonucu)")*($Y$44)
+COUNTIF(AL9,"Doğal Afet Yardımı")*($Y$45)
+COUNTIF(AL9,"Eğitim Yardımı (Çocuk-İlköğretim)")*($Y$46)
+COUNTIF(AL9,"Eğitim Yardımı (Çocuk-Ortaöğretim)")*($Y$47)
+COUNTIF(AL9,"Eğitim Yardımı (Çocuk-Lise)")*($Y$48)
+COUNTIF(AL9,"Eğitim Yardımı (Çocuk-Yükseköğretim)")*($Y$49)
+COUNTIF(AL9,"Eğitim Yardımı (İşçi-Lise)")*($Y$50)
+COUNTIF(AL9,"Eğitim Yardımı (İşçi-Yükseköğretim)")*($Y$51)
+COUNTIF(AL9,"Evlilik Yardımı")*($Y$52)
+COUNTIF(AL9,"Gıda Yardımı")*($Y$53)
+COUNTIF(AL9,"İş Kazası veya Meslek Hastalığı Tazminatı")*($Y$54)</f>
        <v>0</v>
      </c>
      <c r="AP9" s="43">
        <f t="shared" si="4"/>
        <v>0</v>
      </c>
      <c r="AQ9" s="43">
        <f ca="1">(AO9*BB37)</f>
        <v>0</v>
      </c>
      <c r="AR9" s="42" t="s">
        <v>1</v>
      </c>
      <c r="AS9" s="36">
        <v>0</v>
      </c>
      <c r="AT9" s="36">
        <f t="shared" si="5"/>
        <v>0</v>
      </c>
      <c r="AU9" s="44">
        <f>IF(AZ38=0,AY38,(VLOOKUP($AY38,$AQ$30:$AT$34,2,0)-AX37)/AW38*AY37+(AX38-VLOOKUP($AY38,$AQ$30:$AT$34,2,0))/AW38*AY38)</f>
        <v>0.2</v>
      </c>
      <c r="AV9" s="36">
        <f>(ROUND(AW38*AU9,2))</f>
        <v>4420.9399999999996</v>
      </c>
      <c r="AW9" s="44">
        <f t="shared" si="6"/>
        <v>0.80240999999999996</v>
      </c>
      <c r="AX9" s="36">
        <f>AU23</f>
        <v>26005.5</v>
      </c>
      <c r="AY9" s="36">
        <f>AU23+AX23+AO38+AP38</f>
        <v>22104.674999999999</v>
      </c>
      <c r="AZ9" s="36">
        <f ca="1">(C23+AA23+AD23+AG23+AG9+AJ23+Z37+AI37+AL37+G23+AO9)</f>
        <v>105189.01913837269</v>
      </c>
      <c r="BA9" s="36">
        <f>(AV23+AC37)</f>
        <v>30805.5</v>
      </c>
      <c r="BB9" s="36">
        <f t="shared" ca="1" si="7"/>
        <v>74383.519138372692</v>
      </c>
      <c r="BI9" s="45"/>
      <c r="BJ9" s="46"/>
      <c r="BK9" s="47"/>
      <c r="BL9" s="49"/>
      <c r="BM9" s="47"/>
      <c r="BN9" s="35">
        <v>7</v>
      </c>
      <c r="BO9" s="50">
        <v>3.5</v>
      </c>
      <c r="BP9" s="51">
        <v>0.09</v>
      </c>
    </row>
    <row r="10" spans="1:68" ht="39.950000000000003" customHeight="1" x14ac:dyDescent="0.25">
      <c r="A10" s="29"/>
      <c r="B10" s="30"/>
      <c r="C10" s="1"/>
      <c r="D10" s="1"/>
      <c r="E10" s="1"/>
      <c r="F10" s="1"/>
      <c r="G10" s="1"/>
      <c r="H10" s="1"/>
      <c r="I10" s="1"/>
      <c r="J10" s="1"/>
      <c r="K10" s="1"/>
      <c r="L10" s="1"/>
      <c r="M10" s="1"/>
      <c r="N10" s="2"/>
      <c r="O10" s="34"/>
      <c r="P10" s="3"/>
      <c r="Q10" s="8"/>
      <c r="R10" s="35" t="s">
        <v>8</v>
      </c>
      <c r="S10" s="36">
        <f t="shared" ca="1" si="10"/>
        <v>3547.9170272771494</v>
      </c>
      <c r="T10" s="36">
        <f ca="1">COUNTIF(O1,"Ocak")*(H15)
+COUNTIF(O1,"Şubat")*(H16)
+COUNTIF(O1,"Mart")*(H17)
+COUNTIF(O1,"Nisan")*(H18)
+COUNTIF(O1,"Mayıs")*(H19)
+COUNTIF(O1,"Haziran")*(H20)
+COUNTIF(O1,"Temmuz")*(H21)
+COUNTIF(O1,"Ağustos")*(H22)
+COUNTIF(O1,"Eylül")*(H23)
+COUNTIF(O1,"Ekim")*(H24)
+COUNTIF(O1,"Kasım")*(H25)
+COUNTIF(O1,"Aralık")*(H26)
+COUNTIF(O1,"Yıllık Toplam")*(H27)
+COUNTIF(O1,"Yıllık Ortalama")*(H28)</f>
        <v>3547.9170272771494</v>
      </c>
      <c r="U10" s="37"/>
      <c r="V10" s="36" t="s">
        <v>0</v>
      </c>
      <c r="W10" s="35" t="s">
        <v>0</v>
      </c>
      <c r="X10" s="36">
        <v>126</v>
      </c>
      <c r="Y10" s="36">
        <v>126</v>
      </c>
      <c r="Z10" s="39">
        <f t="shared" si="8"/>
        <v>45931</v>
      </c>
      <c r="AA10" s="39">
        <f t="shared" si="1"/>
        <v>45961</v>
      </c>
      <c r="AB10" s="40">
        <v>30</v>
      </c>
      <c r="AC10" s="40">
        <f t="shared" si="2"/>
        <v>27</v>
      </c>
      <c r="AD10" s="40">
        <f t="shared" si="3"/>
        <v>3</v>
      </c>
      <c r="AE10" s="36">
        <f>C24/30</f>
        <v>1520</v>
      </c>
      <c r="AF10" s="36">
        <f ca="1">(AE10*BB38+AY24/30+AV10/30)</f>
        <v>1085.5672581666665</v>
      </c>
      <c r="AG10" s="36">
        <f>(E24/7.5*2*AI24)</f>
        <v>0</v>
      </c>
      <c r="AH10" s="36">
        <f ca="1">(AG10*BB38)</f>
        <v>0</v>
      </c>
      <c r="AI10" s="41">
        <v>0</v>
      </c>
      <c r="AJ10" s="36">
        <f>IF($Y$13*I24&gt;=AF38,AF38,$Y$13*I24)</f>
        <v>3160</v>
      </c>
      <c r="AK10" s="36">
        <f>(AF38-AJ10)</f>
        <v>1640</v>
      </c>
      <c r="AL10" s="42" t="s">
        <v>1</v>
      </c>
      <c r="AM10" s="42" t="s">
        <v>1</v>
      </c>
      <c r="AN10" s="42" t="s">
        <v>1</v>
      </c>
      <c r="AO10" s="43">
        <f>COUNTIF(AL10,"Yok")*(0)
+COUNTIF(AL10,"Askerlik Yardımı")*($Y$40)
+COUNTIF(AL10,"Cenaze Yardımı (Anne-Baba)")*($Y$41)
+COUNTIF(AL10,"Cenaze Yardımı (Eş-Çocuk)")*($Y$42)
+COUNTIF(AL10,"Cenaze Yardımı (İşçi-İş Kazası Sonucu)")*($Y$43)
+COUNTIF(AL10,"Cenaze Yardımı (İşçi-Tabii Sebepler Sonucu)")*($Y$44)
+COUNTIF(AL10,"Doğal Afet Yardımı")*($Y$45)
+COUNTIF(AL10,"Eğitim Yardımı (Çocuk-İlköğretim)")*($Y$46)
+COUNTIF(AL10,"Eğitim Yardımı (Çocuk-Ortaöğretim)")*($Y$47)
+COUNTIF(AL10,"Eğitim Yardımı (Çocuk-Lise)")*($Y$48)
+COUNTIF(AL10,"Eğitim Yardımı (Çocuk-Yükseköğretim)")*($Y$49)
+COUNTIF(AL10,"Eğitim Yardımı (İşçi-Lise)")*($Y$50)
+COUNTIF(AL10,"Eğitim Yardımı (İşçi-Yükseköğretim)")*($Y$51)
+COUNTIF(AL10,"Evlilik Yardımı")*($Y$52)
+COUNTIF(AL10,"Gıda Yardımı")*($Y$53)
+COUNTIF(AL10,"İş Kazası veya Meslek Hastalığı Tazminatı")*($Y$54)</f>
        <v>0</v>
      </c>
      <c r="AP10" s="43">
        <f t="shared" si="4"/>
        <v>0</v>
      </c>
      <c r="AQ10" s="43">
        <f ca="1">(AO10*BB38)</f>
        <v>0</v>
      </c>
      <c r="AR10" s="42" t="s">
        <v>1</v>
      </c>
      <c r="AS10" s="36">
        <v>0</v>
      </c>
      <c r="AT10" s="36">
        <f t="shared" si="5"/>
        <v>0</v>
      </c>
      <c r="AU10" s="44">
        <f>IF(AZ39=0,AY39,(VLOOKUP($AY39,$AQ$30:$AT$34,2,0)-AX38)/AW39*AY38+(AX39-VLOOKUP($AY39,$AQ$30:$AT$34,2,0))/AW39*AY39)</f>
        <v>0.2</v>
      </c>
      <c r="AV10" s="36">
        <f>(ROUND(AW39*AU10,2))</f>
        <v>4420.9399999999996</v>
      </c>
      <c r="AW10" s="44">
        <f t="shared" si="6"/>
        <v>0.80240999999999996</v>
      </c>
      <c r="AX10" s="36">
        <f>AU24</f>
        <v>26005.5</v>
      </c>
      <c r="AY10" s="36">
        <f>AU24+AX24+AO39+AP39</f>
        <v>22104.674999999999</v>
      </c>
      <c r="AZ10" s="36">
        <f ca="1">(C24+AA24+AD24+AG24+AG10+AJ24+Z38+AI38+AL38+G24+AO10)</f>
        <v>59589.019138372685</v>
      </c>
      <c r="BA10" s="36">
        <f>(AV24+AC38)</f>
        <v>30805.5</v>
      </c>
      <c r="BB10" s="36">
        <f t="shared" ca="1" si="7"/>
        <v>28783.519138372685</v>
      </c>
      <c r="BI10" s="45"/>
      <c r="BJ10" s="46"/>
      <c r="BK10" s="47"/>
      <c r="BL10" s="49"/>
      <c r="BM10" s="47"/>
      <c r="BN10" s="35">
        <v>8</v>
      </c>
      <c r="BO10" s="50">
        <v>4</v>
      </c>
      <c r="BP10" s="51">
        <v>0.1</v>
      </c>
    </row>
    <row r="11" spans="1:68" ht="39.950000000000003" customHeight="1" x14ac:dyDescent="0.25">
      <c r="A11" s="29"/>
      <c r="B11" s="30"/>
      <c r="C11" s="1"/>
      <c r="D11" s="1"/>
      <c r="E11" s="1"/>
      <c r="F11" s="1"/>
      <c r="G11" s="1"/>
      <c r="H11" s="1"/>
      <c r="I11" s="1"/>
      <c r="J11" s="1"/>
      <c r="K11" s="1"/>
      <c r="L11" s="1"/>
      <c r="M11" s="1"/>
      <c r="N11" s="2"/>
      <c r="O11" s="34"/>
      <c r="P11" s="3"/>
      <c r="Q11" s="8"/>
      <c r="R11" s="35" t="s">
        <v>36</v>
      </c>
      <c r="S11" s="36">
        <f t="shared" ref="S11:S20" ca="1" si="11">IF(T11&gt;0,T11,T11*-1)</f>
        <v>0</v>
      </c>
      <c r="T11" s="36">
        <f ca="1">COUNTIF(O1,"Ocak")*(AQ1)
+COUNTIF(O1,"Şubat")*(AQ2)
+COUNTIF(O1,"Mart")*(AQ3)
+COUNTIF(O1,"Nisan")*(AQ4)
+COUNTIF(O1,"Mayıs")*(AQ5)
+COUNTIF(O1,"Haziran")*(AQ6)
+COUNTIF(O1,"Temmuz")*(AQ7)
+COUNTIF(O1,"Ağustos")*(AQ8)
+COUNTIF(O1,"Eylül")*(AQ9)
+COUNTIF(O1,"Ekim")*(AQ10)
+COUNTIF(O1,"Kasım")*(AQ11)
+COUNTIF(O1,"Aralık")*(AQ12)
+COUNTIF(O1,"Yıllık Toplam")*(AQ13)
+COUNTIF(O1,"Yıllık Ortalama")*(AQ14)</f>
        <v>0</v>
      </c>
      <c r="U11" s="37"/>
      <c r="V11" s="36" t="s">
        <v>0</v>
      </c>
      <c r="W11" s="35" t="s">
        <v>0</v>
      </c>
      <c r="X11" s="36">
        <v>1000</v>
      </c>
      <c r="Y11" s="36">
        <v>1000</v>
      </c>
      <c r="Z11" s="39">
        <f t="shared" si="8"/>
        <v>45962</v>
      </c>
      <c r="AA11" s="39">
        <f t="shared" si="1"/>
        <v>45991</v>
      </c>
      <c r="AB11" s="40">
        <v>30</v>
      </c>
      <c r="AC11" s="40">
        <f t="shared" si="2"/>
        <v>25</v>
      </c>
      <c r="AD11" s="40">
        <f t="shared" si="3"/>
        <v>5</v>
      </c>
      <c r="AE11" s="36">
        <f>C25/30</f>
        <v>1520</v>
      </c>
      <c r="AF11" s="36">
        <f ca="1">(AE11*BB39+AY25/30+AV11/30)</f>
        <v>1085.5672581666665</v>
      </c>
      <c r="AG11" s="36">
        <f>(E25/7.5*2*AI25)</f>
        <v>0</v>
      </c>
      <c r="AH11" s="36">
        <f ca="1">(AG11*BB39)</f>
        <v>0</v>
      </c>
      <c r="AI11" s="41">
        <v>0</v>
      </c>
      <c r="AJ11" s="36">
        <f>IF($Y$13*I25&gt;=AF39,AF39,$Y$13*I25)</f>
        <v>3160</v>
      </c>
      <c r="AK11" s="36">
        <f>(AF39-AJ11)</f>
        <v>1640</v>
      </c>
      <c r="AL11" s="42" t="s">
        <v>1</v>
      </c>
      <c r="AM11" s="42" t="s">
        <v>1</v>
      </c>
      <c r="AN11" s="42" t="s">
        <v>1</v>
      </c>
      <c r="AO11" s="43">
        <f>COUNTIF(AL11,"Yok")*(0)
+COUNTIF(AL11,"Askerlik Yardımı")*($Y$40)
+COUNTIF(AL11,"Cenaze Yardımı (Anne-Baba)")*($Y$41)
+COUNTIF(AL11,"Cenaze Yardımı (Eş-Çocuk)")*($Y$42)
+COUNTIF(AL11,"Cenaze Yardımı (İşçi-İş Kazası Sonucu)")*($Y$43)
+COUNTIF(AL11,"Cenaze Yardımı (İşçi-Tabii Sebepler Sonucu)")*($Y$44)
+COUNTIF(AL11,"Doğal Afet Yardımı")*($Y$45)
+COUNTIF(AL11,"Eğitim Yardımı (Çocuk-İlköğretim)")*($Y$46)
+COUNTIF(AL11,"Eğitim Yardımı (Çocuk-Ortaöğretim)")*($Y$47)
+COUNTIF(AL11,"Eğitim Yardımı (Çocuk-Lise)")*($Y$48)
+COUNTIF(AL11,"Eğitim Yardımı (Çocuk-Yükseköğretim)")*($Y$49)
+COUNTIF(AL11,"Eğitim Yardımı (İşçi-Lise)")*($Y$50)
+COUNTIF(AL11,"Eğitim Yardımı (İşçi-Yükseköğretim)")*($Y$51)
+COUNTIF(AL11,"Evlilik Yardımı")*($Y$52)
+COUNTIF(AL11,"Gıda Yardımı")*($Y$53)
+COUNTIF(AL11,"İş Kazası veya Meslek Hastalığı Tazminatı")*($Y$54)</f>
        <v>0</v>
      </c>
      <c r="AP11" s="43">
        <f t="shared" si="4"/>
        <v>0</v>
      </c>
      <c r="AQ11" s="43">
        <f ca="1">(AO11*BB39)</f>
        <v>0</v>
      </c>
      <c r="AR11" s="42" t="s">
        <v>1</v>
      </c>
      <c r="AS11" s="36">
        <v>0</v>
      </c>
      <c r="AT11" s="36">
        <f t="shared" si="5"/>
        <v>0</v>
      </c>
      <c r="AU11" s="44">
        <f>IF(AZ40=0,AY40,(VLOOKUP($AY40,$AQ$30:$AT$34,2,0)-AX39)/AW40*AY39+(AX40-VLOOKUP($AY40,$AQ$30:$AT$34,2,0))/AW40*AY40)</f>
        <v>0.2</v>
      </c>
      <c r="AV11" s="36">
        <f>(ROUND(AW40*AU11,2))</f>
        <v>4420.9399999999996</v>
      </c>
      <c r="AW11" s="44">
        <f t="shared" si="6"/>
        <v>0.80240999999999996</v>
      </c>
      <c r="AX11" s="36">
        <f>AU25</f>
        <v>26005.5</v>
      </c>
      <c r="AY11" s="36">
        <f>AU25+AX25+AO40+AP40</f>
        <v>22104.674999999999</v>
      </c>
      <c r="AZ11" s="36">
        <f ca="1">(C25+AA25+AD25+AG25+AG11+AJ25+Z39+AI39+AL39+G25+AO11)</f>
        <v>59589.019138372685</v>
      </c>
      <c r="BA11" s="36">
        <f>(AV25+AC39)</f>
        <v>30805.5</v>
      </c>
      <c r="BB11" s="36">
        <f t="shared" ca="1" si="7"/>
        <v>28783.519138372685</v>
      </c>
      <c r="BI11" s="45"/>
      <c r="BJ11" s="46"/>
      <c r="BK11" s="47"/>
      <c r="BL11" s="49"/>
      <c r="BM11" s="47"/>
      <c r="BN11" s="35">
        <v>9</v>
      </c>
      <c r="BO11" s="50">
        <v>4.5</v>
      </c>
      <c r="BP11" s="51">
        <v>0.11</v>
      </c>
    </row>
    <row r="12" spans="1:68" ht="39.950000000000003" customHeight="1" x14ac:dyDescent="0.25">
      <c r="A12" s="29"/>
      <c r="B12" s="30"/>
      <c r="C12" s="1"/>
      <c r="D12" s="1"/>
      <c r="E12" s="1"/>
      <c r="F12" s="1"/>
      <c r="G12" s="1"/>
      <c r="H12" s="1"/>
      <c r="I12" s="1"/>
      <c r="J12" s="1"/>
      <c r="K12" s="1"/>
      <c r="L12" s="1"/>
      <c r="M12" s="1"/>
      <c r="N12" s="2"/>
      <c r="O12" s="34"/>
      <c r="P12" s="3"/>
      <c r="Q12" s="8"/>
      <c r="R12" s="35" t="s">
        <v>37</v>
      </c>
      <c r="S12" s="36">
        <f t="shared" si="11"/>
        <v>0</v>
      </c>
      <c r="T12" s="36">
        <f>COUNTIF(O1,"Ocak")*(AS1)*-1
+COUNTIF(O1,"Şubat")*(AS2)*-1
+COUNTIF(O1,"Mart")*(AS3)*-1
+COUNTIF(O1,"Nisan")*(AS4)*-1
+COUNTIF(O1,"Mayıs")*(AS5)*-1
+COUNTIF(O1,"Haziran")*(AS6)*-1
+COUNTIF(O1,"Temmuz")*(AS7)*-1
+COUNTIF(O1,"Ağustos")*(AS8)*-1
+COUNTIF(O1,"Eylül")*(AS9)*-1
+COUNTIF(O1,"Ekim")*(AS10)*-1
+COUNTIF(O1,"Kasım")*(AS11)*-1
+COUNTIF(O1,"Aralık")*(AS12)*-1
+COUNTIF(O1,"Yıllık Toplam")*(AS13)*-1
+COUNTIF(O1,"Yıllık Ortalama")*(AS14)*-1</f>
        <v>0</v>
      </c>
      <c r="U12" s="37"/>
      <c r="V12" s="36" t="s">
        <v>0</v>
      </c>
      <c r="W12" s="35" t="s">
        <v>0</v>
      </c>
      <c r="X12" s="36">
        <v>1000</v>
      </c>
      <c r="Y12" s="36">
        <v>1000</v>
      </c>
      <c r="Z12" s="39">
        <f t="shared" si="8"/>
        <v>45992</v>
      </c>
      <c r="AA12" s="39">
        <f t="shared" si="1"/>
        <v>46022</v>
      </c>
      <c r="AB12" s="40">
        <v>30</v>
      </c>
      <c r="AC12" s="40">
        <f t="shared" si="2"/>
        <v>27</v>
      </c>
      <c r="AD12" s="40">
        <f t="shared" si="3"/>
        <v>3</v>
      </c>
      <c r="AE12" s="36">
        <f>C26/30</f>
        <v>1520</v>
      </c>
      <c r="AF12" s="36">
        <f ca="1">(AE12*BB40+AY26/30+AV12/30)</f>
        <v>1085.5672581666665</v>
      </c>
      <c r="AG12" s="36">
        <f>(E26/7.5*2*AI26)</f>
        <v>0</v>
      </c>
      <c r="AH12" s="36">
        <f ca="1">(AG12*BB40)</f>
        <v>0</v>
      </c>
      <c r="AI12" s="41">
        <v>0</v>
      </c>
      <c r="AJ12" s="36">
        <f>IF($Y$13*I26&gt;=AF40,AF40,$Y$13*I26)</f>
        <v>3160</v>
      </c>
      <c r="AK12" s="36">
        <f>(AF40-AJ12)</f>
        <v>1640</v>
      </c>
      <c r="AL12" s="42" t="s">
        <v>1</v>
      </c>
      <c r="AM12" s="42" t="s">
        <v>1</v>
      </c>
      <c r="AN12" s="42" t="s">
        <v>1</v>
      </c>
      <c r="AO12" s="43">
        <f>COUNTIF(AL12,"Yok")*(0)
+COUNTIF(AL12,"Askerlik Yardımı")*($Y$40)
+COUNTIF(AL12,"Cenaze Yardımı (Anne-Baba)")*($Y$41)
+COUNTIF(AL12,"Cenaze Yardımı (Eş-Çocuk)")*($Y$42)
+COUNTIF(AL12,"Cenaze Yardımı (İşçi-İş Kazası Sonucu)")*($Y$43)
+COUNTIF(AL12,"Cenaze Yardımı (İşçi-Tabii Sebepler Sonucu)")*($Y$44)
+COUNTIF(AL12,"Doğal Afet Yardımı")*($Y$45)
+COUNTIF(AL12,"Eğitim Yardımı (Çocuk-İlköğretim)")*($Y$46)
+COUNTIF(AL12,"Eğitim Yardımı (Çocuk-Ortaöğretim)")*($Y$47)
+COUNTIF(AL12,"Eğitim Yardımı (Çocuk-Lise)")*($Y$48)
+COUNTIF(AL12,"Eğitim Yardımı (Çocuk-Yükseköğretim)")*($Y$49)
+COUNTIF(AL12,"Eğitim Yardımı (İşçi-Lise)")*($Y$50)
+COUNTIF(AL12,"Eğitim Yardımı (İşçi-Yükseköğretim)")*($Y$51)
+COUNTIF(AL12,"Evlilik Yardımı")*($Y$52)
+COUNTIF(AL12,"Gıda Yardımı")*($Y$53)
+COUNTIF(AL12,"İş Kazası veya Meslek Hastalığı Tazminatı")*($Y$54)</f>
        <v>0</v>
      </c>
      <c r="AP12" s="43">
        <f t="shared" si="4"/>
        <v>0</v>
      </c>
      <c r="AQ12" s="43">
        <f ca="1">(AO12*BB40)</f>
        <v>0</v>
      </c>
      <c r="AR12" s="42" t="s">
        <v>1</v>
      </c>
      <c r="AS12" s="36">
        <v>0</v>
      </c>
      <c r="AT12" s="36">
        <f t="shared" si="5"/>
        <v>0</v>
      </c>
      <c r="AU12" s="44">
        <f>IF(AZ41=0,AY41,(VLOOKUP($AY41,$AQ$30:$AT$34,2,0)-AX40)/AW41*AY40+(AX41-VLOOKUP($AY41,$AQ$30:$AT$34,2,0))/AW41*AY41)</f>
        <v>0.2</v>
      </c>
      <c r="AV12" s="36">
        <f>(ROUND(AW41*AU12,2))</f>
        <v>4420.9399999999996</v>
      </c>
      <c r="AW12" s="44">
        <f t="shared" si="6"/>
        <v>0.80240999999999996</v>
      </c>
      <c r="AX12" s="36">
        <f>AU26</f>
        <v>26005.5</v>
      </c>
      <c r="AY12" s="36">
        <f>AU26+AX26+AO41+AP41</f>
        <v>22104.674999999999</v>
      </c>
      <c r="AZ12" s="36">
        <f ca="1">(C26+AA26+AD26+AG26+AG12+AJ26+Z40+AI40+AL40+G26+AO12)</f>
        <v>105189.01913837269</v>
      </c>
      <c r="BA12" s="36">
        <f>(AV26+AC40)</f>
        <v>30805.5</v>
      </c>
      <c r="BB12" s="36">
        <f t="shared" ca="1" si="7"/>
        <v>74383.519138372692</v>
      </c>
      <c r="BI12" s="45"/>
      <c r="BJ12" s="46"/>
      <c r="BK12" s="47"/>
      <c r="BL12" s="49"/>
      <c r="BM12" s="47"/>
      <c r="BN12" s="35">
        <v>10</v>
      </c>
      <c r="BO12" s="50">
        <v>5</v>
      </c>
      <c r="BP12" s="51">
        <v>0.12</v>
      </c>
    </row>
    <row r="13" spans="1:68" ht="39.950000000000003" customHeight="1" x14ac:dyDescent="0.25">
      <c r="A13" s="29"/>
      <c r="B13" s="30"/>
      <c r="C13" s="1"/>
      <c r="D13" s="1"/>
      <c r="E13" s="1"/>
      <c r="F13" s="1"/>
      <c r="G13" s="1"/>
      <c r="H13" s="1"/>
      <c r="I13" s="1"/>
      <c r="J13" s="1"/>
      <c r="K13" s="1"/>
      <c r="L13" s="1"/>
      <c r="M13" s="1"/>
      <c r="N13" s="2"/>
      <c r="O13" s="34"/>
      <c r="P13" s="3"/>
      <c r="Q13" s="8"/>
      <c r="R13" s="35" t="s">
        <v>31</v>
      </c>
      <c r="S13" s="36">
        <f t="shared" ca="1" si="11"/>
        <v>0</v>
      </c>
      <c r="T13" s="36">
        <f ca="1">COUNTIF(O1,"Ocak")*(AS15)*-1
+COUNTIF(O1,"Şubat")*(AS16)*-1
+COUNTIF(O1,"Mart")*(AS17)*-1
+COUNTIF(O1,"Nisan")*(AS18)*-1
+COUNTIF(O1,"Mayıs")*(AS19)*-1
+COUNTIF(O1,"Haziran")*(AS20)*-1
+COUNTIF(O1,"Temmuz")*(AS21)*-1
+COUNTIF(O1,"Ağustos")*(AS22)*-1
+COUNTIF(O1,"Eylül")*(AS23)*-1
+COUNTIF(O1,"Ekim")*(AS24)*-1
+COUNTIF(O1,"Kasım")*(AS25)*-1
+COUNTIF(O1,"Aralık")*(AS26)*-1
+COUNTIF(O1,"Yıllık Toplam")*(AS27)*-1
+COUNTIF(O1,"Yıllık Ortalama")*(AS28)*-1</f>
        <v>0</v>
      </c>
      <c r="U13" s="37"/>
      <c r="V13" s="48">
        <f>(23.65%)</f>
        <v>0.23649999999999999</v>
      </c>
      <c r="W13" s="35" t="s">
        <v>0</v>
      </c>
      <c r="X13" s="36">
        <v>158</v>
      </c>
      <c r="Y13" s="36">
        <v>158</v>
      </c>
      <c r="Z13" s="52" t="s">
        <v>0</v>
      </c>
      <c r="AA13" s="52" t="s">
        <v>0</v>
      </c>
      <c r="AB13" s="53">
        <f>(AB1+AB2+AB3+AB4+AB5+AB6+AB7+AB8+AB9+AB10+AB11+AB12)</f>
        <v>360</v>
      </c>
      <c r="AC13" s="53">
        <f>(AC1+AC2+AC3+AC4+AC5+AC6+AC7+AC8+AC9+AC10+AC11+AC12)</f>
        <v>313</v>
      </c>
      <c r="AD13" s="53">
        <f>(AD1+AD2+AD3+AD4+AD5+AD6+AD7+AD8+AD9+AD10+AD11+AD12)</f>
        <v>47</v>
      </c>
      <c r="AE13" s="36">
        <f>(AE1+AE2+AE3+AE4+AE5+AE6+AE7+AE8+AE9+AE10+AE11+AE12)</f>
        <v>17733.333333333336</v>
      </c>
      <c r="AF13" s="36">
        <f ca="1">(AF1+AF2+AF3+AF4+AF5+AF6+AF7+AF8+AF9+AF10+AF11+AF12)</f>
        <v>13125.792825305036</v>
      </c>
      <c r="AG13" s="36">
        <f t="shared" ref="AG13:AH13" si="12">(AG1+AG2+AG3+AG4+AG5+AG6+AG7+AG8+AG9+AG10+AG11+AG12)</f>
        <v>0</v>
      </c>
      <c r="AH13" s="36">
        <f t="shared" ca="1" si="12"/>
        <v>0</v>
      </c>
      <c r="AI13" s="54">
        <f>(AI1+AI2+AI3+AI4+AI5+AI6+AI7+AI8+AI9+AI10+AI11+AI12)</f>
        <v>0</v>
      </c>
      <c r="AJ13" s="36">
        <f>(AJ1+AJ2+AJ3+AJ4+AJ5+AJ6+AJ7+AJ8+AJ9+AJ10+AJ11+AJ12)</f>
        <v>37920</v>
      </c>
      <c r="AK13" s="36">
        <f>(AK1+AK2+AK3+AK4+AK5+AK6+AK7+AK8+AK9+AK10+AK11+AK12)</f>
        <v>19680</v>
      </c>
      <c r="AL13" s="52" t="s">
        <v>0</v>
      </c>
      <c r="AM13" s="52" t="s">
        <v>0</v>
      </c>
      <c r="AN13" s="52" t="s">
        <v>0</v>
      </c>
      <c r="AO13" s="36">
        <f t="shared" ref="AO13" si="13">(AO1+AO2+AO3+AO4+AO5+AO6+AO7+AO8+AO9+AO10+AO11+AO12)</f>
        <v>0</v>
      </c>
      <c r="AP13" s="36">
        <f t="shared" ref="AP13" si="14">(AP1+AP2+AP3+AP4+AP5+AP6+AP7+AP8+AP9+AP10+AP11+AP12)</f>
        <v>0</v>
      </c>
      <c r="AQ13" s="36">
        <f t="shared" ref="AQ13" ca="1" si="15">(AQ1+AQ2+AQ3+AQ4+AQ5+AQ6+AQ7+AQ8+AQ9+AQ10+AQ11+AQ12)</f>
        <v>0</v>
      </c>
      <c r="AR13" s="52" t="s">
        <v>0</v>
      </c>
      <c r="AS13" s="36">
        <f t="shared" ref="AS13:AT13" si="16">(AS1+AS2+AS3+AS4+AS5+AS6+AS7+AS8+AS9+AS10+AS11+AS12)</f>
        <v>0</v>
      </c>
      <c r="AT13" s="36">
        <f t="shared" si="16"/>
        <v>0</v>
      </c>
      <c r="AU13" s="35" t="s">
        <v>0</v>
      </c>
      <c r="AV13" s="36">
        <f t="shared" ref="AV13" si="17">(AV1+AV2+AV3+AV4+AV5+AV6+AV7+AV8+AV9+AV10+AV11+AV12)</f>
        <v>45151.23</v>
      </c>
      <c r="AW13" s="35" t="s">
        <v>0</v>
      </c>
      <c r="AX13" s="36">
        <f t="shared" ref="AX13" si="18">(AX1+AX2+AX3+AX4+AX5+AX6+AX7+AX8+AX9+AX10+AX11+AX12)</f>
        <v>312066</v>
      </c>
      <c r="AY13" s="36">
        <f t="shared" ref="AY13" si="19">(AY1+AY2+AY3+AY4+AY5+AY6+AY7+AY8+AY9+AY10+AY11+AY12)</f>
        <v>265256.09999999992</v>
      </c>
      <c r="AZ13" s="36">
        <f t="shared" ref="AZ13:BA13" ca="1" si="20">(AZ1+AZ2+AZ3+AZ4+AZ5+AZ6+AZ7+AZ8+AZ9+AZ10+AZ11+AZ12)</f>
        <v>876251.26902638504</v>
      </c>
      <c r="BA13" s="36">
        <f t="shared" si="20"/>
        <v>369666</v>
      </c>
      <c r="BB13" s="36">
        <f t="shared" ref="BB13" ca="1" si="21">(BB1+BB2+BB3+BB4+BB5+BB6+BB7+BB8+BB9+BB10+BB11+BB12)</f>
        <v>506585.26902638481</v>
      </c>
      <c r="BI13" s="45"/>
      <c r="BJ13" s="46"/>
      <c r="BK13" s="47"/>
      <c r="BL13" s="49"/>
      <c r="BM13" s="47"/>
      <c r="BN13" s="35">
        <v>11</v>
      </c>
      <c r="BO13" s="50">
        <v>5.5</v>
      </c>
      <c r="BP13" s="51">
        <v>0.13</v>
      </c>
    </row>
    <row r="14" spans="1:68" ht="39.950000000000003" customHeight="1" x14ac:dyDescent="0.25">
      <c r="A14" s="31"/>
      <c r="B14" s="32"/>
      <c r="C14" s="1"/>
      <c r="D14" s="1"/>
      <c r="E14" s="1"/>
      <c r="F14" s="1"/>
      <c r="G14" s="1"/>
      <c r="H14" s="1"/>
      <c r="I14" s="1"/>
      <c r="J14" s="1"/>
      <c r="K14" s="1"/>
      <c r="L14" s="1"/>
      <c r="M14" s="1"/>
      <c r="N14" s="2"/>
      <c r="O14" s="34"/>
      <c r="P14" s="3"/>
      <c r="Q14" s="8"/>
      <c r="R14" s="35" t="s">
        <v>32</v>
      </c>
      <c r="S14" s="36">
        <f t="shared" ca="1" si="11"/>
        <v>320.41518265918847</v>
      </c>
      <c r="T14" s="36">
        <f ca="1">COUNTIF(O1,"Ocak")*(AM45)*-1
+COUNTIF(O1,"Şubat")*(AM46)*-1
+COUNTIF(O1,"Mart")*(AM47)*-1
+COUNTIF(O1,"Nisan")*(AM48)*-1
+COUNTIF(O1,"Mayıs")*(AM49)*-1
+COUNTIF(O1,"Haziran")*(AM50)*-1
+COUNTIF(O1,"Temmuz")*(AM51)*-1
+COUNTIF(O1,"Ağustos")*(AM52)*-1
+COUNTIF(O1,"Eylül")*(AM53)*-1
+COUNTIF(O1,"Ekim")*(AM54)*-1
+COUNTIF(O1,"Kasım")*(AM55)*-1
+COUNTIF(O1,"Aralık")*(AM56)*-1
+COUNTIF(O1,"Yıllık Toplam")*(AM57)*-1
+COUNTIF(O1,"Yıllık Ortalama")*(AM58)*-1</f>
        <v>320.41518265918847</v>
      </c>
      <c r="U14" s="37"/>
      <c r="V14" s="36" t="s">
        <v>0</v>
      </c>
      <c r="W14" s="35" t="s">
        <v>0</v>
      </c>
      <c r="X14" s="36">
        <v>240</v>
      </c>
      <c r="Y14" s="36">
        <v>240</v>
      </c>
      <c r="Z14" s="52" t="s">
        <v>0</v>
      </c>
      <c r="AA14" s="52" t="s">
        <v>0</v>
      </c>
      <c r="AB14" s="52" t="s">
        <v>0</v>
      </c>
      <c r="AC14" s="52" t="s">
        <v>0</v>
      </c>
      <c r="AD14" s="52" t="s">
        <v>0</v>
      </c>
      <c r="AE14" s="36">
        <f>(AE13/12)</f>
        <v>1477.7777777777781</v>
      </c>
      <c r="AF14" s="36">
        <f ca="1">(AF13/12)</f>
        <v>1093.8160687754196</v>
      </c>
      <c r="AG14" s="36">
        <f t="shared" ref="AG14:AH14" si="22">(AG13/12)</f>
        <v>0</v>
      </c>
      <c r="AH14" s="36">
        <f t="shared" ca="1" si="22"/>
        <v>0</v>
      </c>
      <c r="AI14" s="52" t="s">
        <v>0</v>
      </c>
      <c r="AJ14" s="36">
        <f>(AJ13/12)</f>
        <v>3160</v>
      </c>
      <c r="AK14" s="36">
        <f>(AK13/12)</f>
        <v>1640</v>
      </c>
      <c r="AL14" s="52" t="s">
        <v>0</v>
      </c>
      <c r="AM14" s="52" t="s">
        <v>0</v>
      </c>
      <c r="AN14" s="52" t="s">
        <v>0</v>
      </c>
      <c r="AO14" s="36">
        <f t="shared" ref="AO14" si="23">AO13/12</f>
        <v>0</v>
      </c>
      <c r="AP14" s="36">
        <f t="shared" ref="AP14" si="24">AP13/12</f>
        <v>0</v>
      </c>
      <c r="AQ14" s="36">
        <f t="shared" ref="AQ14" ca="1" si="25">AQ13/12</f>
        <v>0</v>
      </c>
      <c r="AR14" s="52" t="s">
        <v>0</v>
      </c>
      <c r="AS14" s="36">
        <f t="shared" ref="AS14:AT14" si="26">(AS13/12)</f>
        <v>0</v>
      </c>
      <c r="AT14" s="36">
        <f t="shared" si="26"/>
        <v>0</v>
      </c>
      <c r="AU14" s="52" t="s">
        <v>0</v>
      </c>
      <c r="AV14" s="36">
        <f t="shared" ref="AV14" si="27">(AV13/12)</f>
        <v>3762.6025000000004</v>
      </c>
      <c r="AW14" s="52" t="s">
        <v>0</v>
      </c>
      <c r="AX14" s="36">
        <f t="shared" ref="AX14" si="28">(AX13/12)</f>
        <v>26005.5</v>
      </c>
      <c r="AY14" s="36">
        <f t="shared" ref="AY14" si="29">(AY13/12)</f>
        <v>22104.674999999992</v>
      </c>
      <c r="AZ14" s="36">
        <f t="shared" ref="AZ14:BA14" ca="1" si="30">(AZ13/12)</f>
        <v>73020.939085532082</v>
      </c>
      <c r="BA14" s="36">
        <f t="shared" si="30"/>
        <v>30805.5</v>
      </c>
      <c r="BB14" s="36">
        <f t="shared" ref="BB14" ca="1" si="31">(BB13/12)</f>
        <v>42215.439085532067</v>
      </c>
      <c r="BI14" s="45"/>
      <c r="BJ14" s="46"/>
      <c r="BK14" s="47"/>
      <c r="BL14" s="49"/>
      <c r="BM14" s="47"/>
      <c r="BN14" s="35">
        <v>12</v>
      </c>
      <c r="BO14" s="50">
        <v>6</v>
      </c>
      <c r="BP14" s="51">
        <v>0.14000000000000001</v>
      </c>
    </row>
    <row r="15" spans="1:68" ht="39.950000000000003" customHeight="1" x14ac:dyDescent="0.25">
      <c r="A15" s="10">
        <f ca="1">(AY45)</f>
        <v>0.15</v>
      </c>
      <c r="B15" s="11" t="s">
        <v>10</v>
      </c>
      <c r="C15" s="24">
        <v>38000</v>
      </c>
      <c r="D15" s="12">
        <f ca="1">(C15*BB29)</f>
        <v>27166.58</v>
      </c>
      <c r="E15" s="13">
        <f>C15/30</f>
        <v>1266.6666666666667</v>
      </c>
      <c r="F15" s="14">
        <f ca="1">(E15*BB29)</f>
        <v>905.55266666666682</v>
      </c>
      <c r="G15" s="25">
        <v>4120.8999999999996</v>
      </c>
      <c r="H15" s="12">
        <f ca="1">(G15*BB29)</f>
        <v>2946.072619</v>
      </c>
      <c r="I15" s="26">
        <v>20</v>
      </c>
      <c r="J15" s="33">
        <v>0</v>
      </c>
      <c r="K15" s="33" t="s">
        <v>1</v>
      </c>
      <c r="L15" s="15">
        <f ca="1">(AZ1+AS1+AQ15+AM45+AQ45+AR45+BA45-M15)</f>
        <v>35434.068077412645</v>
      </c>
      <c r="M15" s="15">
        <f ca="1">(AE15+AH15+AH1+AK15+AA29+AR15)</f>
        <v>4554</v>
      </c>
      <c r="N15" s="16">
        <f ca="1">(L15+M15)</f>
        <v>39988.068077412645</v>
      </c>
      <c r="O15" s="34"/>
      <c r="P15" s="3"/>
      <c r="Q15" s="8"/>
      <c r="R15" s="35" t="s">
        <v>5</v>
      </c>
      <c r="S15" s="36">
        <f t="shared" ca="1" si="11"/>
        <v>9780.5314719744911</v>
      </c>
      <c r="T15" s="36">
        <f ca="1">COUNTIF(O1,"Ocak")*(AQ45)*-1
+COUNTIF(O1,"Şubat")*(AQ46)*-1
+COUNTIF(O1,"Mart")*(AQ47)*-1
+COUNTIF(O1,"Nisan")*(AQ48)*-1
+COUNTIF(O1,"Mayıs")*(AQ49)*-1
+COUNTIF(O1,"Haziran")*(AQ50)*-1
+COUNTIF(O1,"Temmuz")*(AQ51)*-1
+COUNTIF(O1,"Ağustos")*(AQ52)*-1
+COUNTIF(O1,"Eylül")*(AQ53)*-1
+COUNTIF(O1,"Ekim")*(AQ54)*-1
+COUNTIF(O1,"Kasım")*(AQ55)*-1
+COUNTIF(O1,"Aralık")*(AQ56)*-1
+COUNTIF(O1,"Yıllık Toplam")*(AQ57)*-1
+COUNTIF(O1,"Yıllık Ortalama")*(AQ58)*-1</f>
        <v>9780.5314719744911</v>
      </c>
      <c r="U15" s="55"/>
      <c r="Z15" s="56">
        <v>0</v>
      </c>
      <c r="AA15" s="36">
        <f>(75*Z15)</f>
        <v>0</v>
      </c>
      <c r="AB15" s="36">
        <f ca="1">(AA15*BB29)</f>
        <v>0</v>
      </c>
      <c r="AC15" s="41">
        <v>0</v>
      </c>
      <c r="AD15" s="36">
        <f>(E15/7.5*1.6*AC15)</f>
        <v>0</v>
      </c>
      <c r="AE15" s="36">
        <f ca="1">(AD15*BB29)</f>
        <v>0</v>
      </c>
      <c r="AF15" s="41">
        <v>0</v>
      </c>
      <c r="AG15" s="36">
        <f>(E15/7.5*1.3*AF15)</f>
        <v>0</v>
      </c>
      <c r="AH15" s="36">
        <f ca="1">(AG15*BB29)</f>
        <v>0</v>
      </c>
      <c r="AI15" s="41">
        <v>0</v>
      </c>
      <c r="AJ15" s="36">
        <f>(E15/7.5*0.15*AI1)</f>
        <v>0</v>
      </c>
      <c r="AK15" s="36">
        <f ca="1">(AJ15*BB29)</f>
        <v>0</v>
      </c>
      <c r="AL15" s="36">
        <f>(AK1*0.14*-1)</f>
        <v>-229.60000000000002</v>
      </c>
      <c r="AM15" s="36">
        <f>(AK1*0.01*-1)</f>
        <v>-16.399999999999999</v>
      </c>
      <c r="AN15" s="36">
        <f>(AB29+AL15+AM15)</f>
        <v>4554</v>
      </c>
      <c r="AO15" s="36">
        <f>IF($X$14*I15&gt;=AN15,AN15,$X$14*I15)</f>
        <v>4554</v>
      </c>
      <c r="AP15" s="36">
        <f>IF(AN15-AO15&lt;=0,0,AN15-AO15)</f>
        <v>0</v>
      </c>
      <c r="AQ15" s="43">
        <f ca="1">(AP45*J15+AR15)*-1</f>
        <v>0</v>
      </c>
      <c r="AR15" s="43">
        <f>(AD15+AG15+AG1+AJ15+Z29-AJ1)*(J15*-1)</f>
        <v>0</v>
      </c>
      <c r="AS15" s="43">
        <f ca="1">(AQ15+AR15)</f>
        <v>0</v>
      </c>
      <c r="AT15" s="43">
        <f>COUNTIF(K15,"Yok")*(0)
+COUNTIF(K15,"1. Derece")*($V$36)
+COUNTIF(K15,"2. Derece")*($V$37)
+COUNTIF(K15,"3. Derece")*($V$38)</f>
        <v>0</v>
      </c>
      <c r="AU15" s="36">
        <f>($X$8)</f>
        <v>26005.5</v>
      </c>
      <c r="AV15" s="36">
        <f>(AU15)</f>
        <v>26005.5</v>
      </c>
      <c r="AW15" s="36">
        <f>(AU15-AV15)</f>
        <v>0</v>
      </c>
      <c r="AX15" s="36">
        <f t="shared" ref="AX15:AX26" si="32">(AW15*0.00759*-1)</f>
        <v>0</v>
      </c>
      <c r="AY15" s="36">
        <f>(AU15*0.00759)</f>
        <v>197.38174500000002</v>
      </c>
      <c r="AZ15" s="36">
        <f t="shared" ref="AZ15:AZ26" si="33">(AU15)</f>
        <v>26005.5</v>
      </c>
      <c r="BA15" s="36">
        <f>(0)</f>
        <v>0</v>
      </c>
      <c r="BB15" s="36">
        <f>(AZ15-BA15)</f>
        <v>26005.5</v>
      </c>
      <c r="BI15" s="45"/>
      <c r="BJ15" s="46"/>
      <c r="BK15" s="47"/>
      <c r="BL15" s="49"/>
      <c r="BM15" s="47"/>
      <c r="BN15" s="35">
        <v>13</v>
      </c>
      <c r="BO15" s="50">
        <v>6.5</v>
      </c>
      <c r="BP15" s="51">
        <v>0.15</v>
      </c>
    </row>
    <row r="16" spans="1:68" ht="39.950000000000003" customHeight="1" x14ac:dyDescent="0.25">
      <c r="A16" s="10">
        <f ca="1">(AY46)</f>
        <v>0.15</v>
      </c>
      <c r="B16" s="11" t="s">
        <v>11</v>
      </c>
      <c r="C16" s="24">
        <v>38000</v>
      </c>
      <c r="D16" s="12">
        <f ca="1">(C16*BB30)</f>
        <v>27166.58</v>
      </c>
      <c r="E16" s="13">
        <f>C16/30</f>
        <v>1266.6666666666667</v>
      </c>
      <c r="F16" s="14">
        <f ca="1">(E16*BB30)</f>
        <v>905.55266666666682</v>
      </c>
      <c r="G16" s="25">
        <v>4120.8999999999996</v>
      </c>
      <c r="H16" s="12">
        <f ca="1">(G16*BB30)</f>
        <v>2946.072619</v>
      </c>
      <c r="I16" s="26">
        <v>20</v>
      </c>
      <c r="J16" s="33">
        <v>0</v>
      </c>
      <c r="K16" s="33" t="s">
        <v>1</v>
      </c>
      <c r="L16" s="15">
        <f ca="1">(AZ2+AS2+AQ16+AM46+AQ46+AR46+BA46-M16)</f>
        <v>35745.738663733529</v>
      </c>
      <c r="M16" s="15">
        <f ca="1">(AE16+AH16+AH2+AK16+AA30+AR16)</f>
        <v>4554</v>
      </c>
      <c r="N16" s="16">
        <f t="shared" ref="N16:N26" ca="1" si="34">(L16+M16)</f>
        <v>40299.738663733529</v>
      </c>
      <c r="O16" s="34"/>
      <c r="P16" s="3"/>
      <c r="Q16" s="8"/>
      <c r="R16" s="35" t="s">
        <v>6</v>
      </c>
      <c r="S16" s="36">
        <f t="shared" ca="1" si="11"/>
        <v>698.60939085532073</v>
      </c>
      <c r="T16" s="36">
        <f ca="1">COUNTIF(O1,"Ocak")*(AR45)*-1
+COUNTIF(O1,"Şubat")*(AR46)*-1
+COUNTIF(O1,"Mart")*(AR47)*-1
+COUNTIF(O1,"Nisan")*(AR48)*-1
+COUNTIF(O1,"Mayıs")*(AR49)*-1
+COUNTIF(O1,"Haziran")*(AR50)*-1
+COUNTIF(O1,"Temmuz")*(AR51)*-1
+COUNTIF(O1,"Ağustos")*(AR52)*-1
+COUNTIF(O1,"Eylül")*(AR53)*-1
+COUNTIF(O1,"Ekim")*(AR54)*-1
+COUNTIF(O1,"Kasım")*(AR55)*-1
+COUNTIF(O1,"Aralık")*(AR56)*-1
+COUNTIF(O1,"Yıllık Toplam")*(AR57)*-1
+COUNTIF(O1,"Yıllık Ortalama")*(AR58)*-1</f>
        <v>698.60939085532073</v>
      </c>
      <c r="U16" s="55"/>
      <c r="V16" s="57">
        <f>(2273)</f>
        <v>2273</v>
      </c>
      <c r="W16" s="35" t="s">
        <v>0</v>
      </c>
      <c r="X16" s="36">
        <f>($V$29*$V$16)</f>
        <v>2301.539788</v>
      </c>
      <c r="Y16" s="36">
        <f>($W$29*$V$16)</f>
        <v>2301.539788</v>
      </c>
      <c r="Z16" s="56">
        <v>0</v>
      </c>
      <c r="AA16" s="36">
        <f t="shared" ref="AA16:AA26" si="35">(75*Z16)</f>
        <v>0</v>
      </c>
      <c r="AB16" s="36">
        <f ca="1">(AA16*BB30)</f>
        <v>0</v>
      </c>
      <c r="AC16" s="41">
        <v>0</v>
      </c>
      <c r="AD16" s="36">
        <f>(E16/7.5*1.6*AC16)</f>
        <v>0</v>
      </c>
      <c r="AE16" s="36">
        <f ca="1">(AD16*BB30)</f>
        <v>0</v>
      </c>
      <c r="AF16" s="41">
        <v>0</v>
      </c>
      <c r="AG16" s="36">
        <f>(E16/7.5*1.3*AF16)</f>
        <v>0</v>
      </c>
      <c r="AH16" s="36">
        <f ca="1">(AG16*BB30)</f>
        <v>0</v>
      </c>
      <c r="AI16" s="41">
        <v>0</v>
      </c>
      <c r="AJ16" s="36">
        <f>(E16/7.5*0.15*AI2)</f>
        <v>0</v>
      </c>
      <c r="AK16" s="36">
        <f ca="1">(AJ16*BB30)</f>
        <v>0</v>
      </c>
      <c r="AL16" s="36">
        <f>(AK2*0.14*-1)</f>
        <v>-229.60000000000002</v>
      </c>
      <c r="AM16" s="36">
        <f>(AK2*0.01*-1)</f>
        <v>-16.399999999999999</v>
      </c>
      <c r="AN16" s="36">
        <f>(AB30+AL16+AM16)</f>
        <v>4554</v>
      </c>
      <c r="AO16" s="36">
        <f>IF($X$14*I16&gt;=AN16,AN16,$X$14*I16)</f>
        <v>4554</v>
      </c>
      <c r="AP16" s="36">
        <f t="shared" ref="AP16:AP26" si="36">IF(AN16-AO16&lt;=0,0,AN16-AO16)</f>
        <v>0</v>
      </c>
      <c r="AQ16" s="43">
        <f ca="1">(AP46*J16+AR16)*-1</f>
        <v>0</v>
      </c>
      <c r="AR16" s="43">
        <f>(AD16+AG16+AG2+AJ16+Z30-AJ2)*(J16*-1)</f>
        <v>0</v>
      </c>
      <c r="AS16" s="43">
        <f t="shared" ref="AS16:AS26" ca="1" si="37">(AQ16+AR16)</f>
        <v>0</v>
      </c>
      <c r="AT16" s="43">
        <f>COUNTIF(K16,"Yok")*(0)
+COUNTIF(K16,"1. Derece")*($V$36)
+COUNTIF(K16,"2. Derece")*($V$37)
+COUNTIF(K16,"3. Derece")*($V$38)</f>
        <v>0</v>
      </c>
      <c r="AU16" s="36">
        <f>($X$8)</f>
        <v>26005.5</v>
      </c>
      <c r="AV16" s="36">
        <f t="shared" ref="AV16:AV26" si="38">(AU16)</f>
        <v>26005.5</v>
      </c>
      <c r="AW16" s="36">
        <f t="shared" ref="AW16:AW26" si="39">(AU16-AV16)</f>
        <v>0</v>
      </c>
      <c r="AX16" s="36">
        <f t="shared" si="32"/>
        <v>0</v>
      </c>
      <c r="AY16" s="36">
        <f t="shared" ref="AY16:AY26" si="40">(AU16*0.00759)</f>
        <v>197.38174500000002</v>
      </c>
      <c r="AZ16" s="36">
        <f t="shared" si="33"/>
        <v>26005.5</v>
      </c>
      <c r="BA16" s="36">
        <f>(0)</f>
        <v>0</v>
      </c>
      <c r="BB16" s="36">
        <f t="shared" ref="BB16:BB26" si="41">(AZ16-BA16)</f>
        <v>26005.5</v>
      </c>
      <c r="BI16" s="45"/>
      <c r="BJ16" s="46"/>
      <c r="BK16" s="47"/>
      <c r="BL16" s="49"/>
      <c r="BM16" s="47"/>
      <c r="BN16" s="35">
        <v>14</v>
      </c>
      <c r="BO16" s="50">
        <v>7</v>
      </c>
      <c r="BP16" s="51">
        <v>0.16</v>
      </c>
    </row>
    <row r="17" spans="1:68" ht="39.950000000000003" customHeight="1" x14ac:dyDescent="0.25">
      <c r="A17" s="10">
        <f ca="1">(AY47)</f>
        <v>0.15188007592487554</v>
      </c>
      <c r="B17" s="11" t="s">
        <v>12</v>
      </c>
      <c r="C17" s="24">
        <v>45600</v>
      </c>
      <c r="D17" s="12">
        <f ca="1">(C17*BB31)</f>
        <v>32527.024257151821</v>
      </c>
      <c r="E17" s="13">
        <f>C17/30</f>
        <v>1520</v>
      </c>
      <c r="F17" s="14">
        <f ca="1">(E17*BB31)</f>
        <v>1084.2341419050608</v>
      </c>
      <c r="G17" s="25">
        <v>5730.11</v>
      </c>
      <c r="H17" s="12">
        <f ca="1">(G17*BB31)</f>
        <v>4087.3558545207943</v>
      </c>
      <c r="I17" s="26">
        <v>20</v>
      </c>
      <c r="J17" s="33">
        <v>0</v>
      </c>
      <c r="K17" s="33" t="s">
        <v>1</v>
      </c>
      <c r="L17" s="15">
        <f ca="1">(AZ3+AS3+AQ17+AM47+AQ47+AR47+BA47-M17)</f>
        <v>74774.481841243527</v>
      </c>
      <c r="M17" s="15">
        <f ca="1">(AE17+AH17+AH3+AK17+AA31+AR17)</f>
        <v>4554</v>
      </c>
      <c r="N17" s="16">
        <f t="shared" ca="1" si="34"/>
        <v>79328.481841243527</v>
      </c>
      <c r="O17" s="34"/>
      <c r="P17" s="3"/>
      <c r="Q17" s="8"/>
      <c r="R17" s="35" t="s">
        <v>33</v>
      </c>
      <c r="S17" s="36">
        <f t="shared" ca="1" si="11"/>
        <v>9310.7691666666669</v>
      </c>
      <c r="T17" s="36">
        <f ca="1">COUNTIF(O1,"Ocak")*(BA45)*-1
+COUNTIF(O1,"Şubat")*(BA46)*-1
+COUNTIF(O1,"Mart")*(BA47)*-1
+COUNTIF(O1,"Nisan")*(BA48)*-1
+COUNTIF(O1,"Mayıs")*(BA49)*-1
+COUNTIF(O1,"Haziran")*(BA50)*-1
+COUNTIF(O1,"Temmuz")*(BA51)*-1
+COUNTIF(O1,"Ağustos")*(BA52)*-1
+COUNTIF(O1,"Eylül")*(BA53)*-1
+COUNTIF(O1,"Ekim")*(BA54)*-1
+COUNTIF(O1,"Kasım")*(BA55)*-1
+COUNTIF(O1,"Aralık")*(BA56)*-1
+COUNTIF(O1,"Yıllık Toplam")*(BA57)*-1
+COUNTIF(O1,"Yıllık Ortalama")*(BA58)*-1</f>
        <v>9310.7691666666669</v>
      </c>
      <c r="U17" s="55"/>
      <c r="V17" s="57">
        <f>(250)</f>
        <v>250</v>
      </c>
      <c r="W17" s="35" t="s">
        <v>0</v>
      </c>
      <c r="X17" s="36">
        <f>($V$29*$V$17*2)</f>
        <v>506.27800000000002</v>
      </c>
      <c r="Y17" s="36">
        <f>($W$29*$V$17*2)</f>
        <v>506.27800000000002</v>
      </c>
      <c r="Z17" s="56">
        <v>0</v>
      </c>
      <c r="AA17" s="36">
        <f t="shared" si="35"/>
        <v>0</v>
      </c>
      <c r="AB17" s="36">
        <f ca="1">(AA17*BB31)</f>
        <v>0</v>
      </c>
      <c r="AC17" s="41">
        <v>0</v>
      </c>
      <c r="AD17" s="36">
        <f>(E17/7.5*1.6*AC17)</f>
        <v>0</v>
      </c>
      <c r="AE17" s="36">
        <f ca="1">(AD17*BB31)</f>
        <v>0</v>
      </c>
      <c r="AF17" s="41">
        <v>0</v>
      </c>
      <c r="AG17" s="36">
        <f>(E17/7.5*1.3*AF17)</f>
        <v>0</v>
      </c>
      <c r="AH17" s="36">
        <f ca="1">(AG17*BB31)</f>
        <v>0</v>
      </c>
      <c r="AI17" s="41">
        <v>0</v>
      </c>
      <c r="AJ17" s="36">
        <f>(E17/7.5*0.15*AI3)</f>
        <v>0</v>
      </c>
      <c r="AK17" s="36">
        <f ca="1">(AJ17*BB31)</f>
        <v>0</v>
      </c>
      <c r="AL17" s="36">
        <f>(AK3*0.14*-1)</f>
        <v>-229.60000000000002</v>
      </c>
      <c r="AM17" s="36">
        <f>(AK3*0.01*-1)</f>
        <v>-16.399999999999999</v>
      </c>
      <c r="AN17" s="36">
        <f>(AB31+AL17+AM17)</f>
        <v>4554</v>
      </c>
      <c r="AO17" s="36">
        <f>IF($X$14*I17&gt;=AN17,AN17,$X$14*I17)</f>
        <v>4554</v>
      </c>
      <c r="AP17" s="36">
        <f t="shared" si="36"/>
        <v>0</v>
      </c>
      <c r="AQ17" s="43">
        <f ca="1">(AP47*J17+AR17)*-1</f>
        <v>0</v>
      </c>
      <c r="AR17" s="43">
        <f>(AD17+AG17+AG3+AJ17+Z31-AJ3)*(J17*-1)</f>
        <v>0</v>
      </c>
      <c r="AS17" s="43">
        <f t="shared" ca="1" si="37"/>
        <v>0</v>
      </c>
      <c r="AT17" s="43">
        <f>COUNTIF(K17,"Yok")*(0)
+COUNTIF(K17,"1. Derece")*($V$36)
+COUNTIF(K17,"2. Derece")*($V$37)
+COUNTIF(K17,"3. Derece")*($V$38)</f>
        <v>0</v>
      </c>
      <c r="AU17" s="36">
        <f>($X$8)</f>
        <v>26005.5</v>
      </c>
      <c r="AV17" s="36">
        <f t="shared" si="38"/>
        <v>26005.5</v>
      </c>
      <c r="AW17" s="36">
        <f t="shared" si="39"/>
        <v>0</v>
      </c>
      <c r="AX17" s="36">
        <f t="shared" si="32"/>
        <v>0</v>
      </c>
      <c r="AY17" s="36">
        <f t="shared" si="40"/>
        <v>197.38174500000002</v>
      </c>
      <c r="AZ17" s="36">
        <f t="shared" si="33"/>
        <v>26005.5</v>
      </c>
      <c r="BA17" s="36">
        <f>(0)</f>
        <v>0</v>
      </c>
      <c r="BB17" s="36">
        <f t="shared" si="41"/>
        <v>26005.5</v>
      </c>
      <c r="BI17" s="45"/>
      <c r="BJ17" s="46"/>
      <c r="BK17" s="47"/>
      <c r="BL17" s="49"/>
      <c r="BM17" s="47"/>
      <c r="BN17" s="35">
        <v>15</v>
      </c>
      <c r="BO17" s="50">
        <v>7.5</v>
      </c>
      <c r="BP17" s="51">
        <v>0.17</v>
      </c>
    </row>
    <row r="18" spans="1:68" ht="39.950000000000003" customHeight="1" x14ac:dyDescent="0.25">
      <c r="A18" s="10">
        <f ca="1">(AY48)</f>
        <v>0.2</v>
      </c>
      <c r="B18" s="11" t="s">
        <v>13</v>
      </c>
      <c r="C18" s="24">
        <v>45600</v>
      </c>
      <c r="D18" s="12">
        <f ca="1">(C18*BB32)</f>
        <v>30661.895999999997</v>
      </c>
      <c r="E18" s="13">
        <f>C18/30</f>
        <v>1520</v>
      </c>
      <c r="F18" s="14">
        <f ca="1">(E18*BB32)</f>
        <v>1022.0631999999999</v>
      </c>
      <c r="G18" s="25">
        <v>5730.11</v>
      </c>
      <c r="H18" s="12">
        <f ca="1">(G18*BB32)</f>
        <v>3852.9832650999997</v>
      </c>
      <c r="I18" s="26">
        <v>20</v>
      </c>
      <c r="J18" s="33">
        <v>0</v>
      </c>
      <c r="K18" s="33" t="s">
        <v>1</v>
      </c>
      <c r="L18" s="15">
        <f ca="1">(AZ4+AS4+AQ18+AM48+AQ48+AR48+BA48-M18)</f>
        <v>40147.962220770576</v>
      </c>
      <c r="M18" s="15">
        <f ca="1">(AE18+AH18+AH4+AK18+AA32+AR18)</f>
        <v>4554</v>
      </c>
      <c r="N18" s="16">
        <f t="shared" ca="1" si="34"/>
        <v>44701.962220770576</v>
      </c>
      <c r="O18" s="34"/>
      <c r="P18" s="3"/>
      <c r="Q18" s="8"/>
      <c r="R18" s="35" t="s">
        <v>69</v>
      </c>
      <c r="S18" s="36">
        <f t="shared" ca="1" si="11"/>
        <v>85069.394034644865</v>
      </c>
      <c r="T18" s="36">
        <f ca="1">COUNTIF(O1,"Ocak")*(BG22)
+COUNTIF(O1,"Şubat")*(BG23)
+COUNTIF(O1,"Mart")*(BG24)
+COUNTIF(O1,"Nisan")*(BG25)
+COUNTIF(O1,"Mayıs")*(BG26)
+COUNTIF(O1,"Haziran")*(BG27)
+COUNTIF(O1,"Temmuz")*(BG28)
+COUNTIF(O1,"Ağustos")*(BG29)
+COUNTIF(O1,"Eylül")*(BG30)
+COUNTIF(O1,"Ekim")*(BG31)
+COUNTIF(O1,"Kasım")*(BG32)
+COUNTIF(O1,"Aralık")*(BG33)
+COUNTIF(O1,"Yıllık Toplam")*(BG34)
+COUNTIF(O1,"Yıllık Ortalama")*(BG35)</f>
        <v>85069.394034644865</v>
      </c>
      <c r="U18" s="55"/>
      <c r="V18" s="57">
        <f>(V17)</f>
        <v>250</v>
      </c>
      <c r="W18" s="35" t="s">
        <v>0</v>
      </c>
      <c r="X18" s="36">
        <f>($V$29*$V$18)</f>
        <v>253.13900000000001</v>
      </c>
      <c r="Y18" s="36">
        <f>($W$29*$V$18)</f>
        <v>253.13900000000001</v>
      </c>
      <c r="Z18" s="56">
        <v>0</v>
      </c>
      <c r="AA18" s="36">
        <f t="shared" si="35"/>
        <v>0</v>
      </c>
      <c r="AB18" s="36">
        <f ca="1">(AA18*BB32)</f>
        <v>0</v>
      </c>
      <c r="AC18" s="41">
        <v>0</v>
      </c>
      <c r="AD18" s="36">
        <f>(E18/7.5*1.6*AC18)</f>
        <v>0</v>
      </c>
      <c r="AE18" s="36">
        <f ca="1">(AD18*BB32)</f>
        <v>0</v>
      </c>
      <c r="AF18" s="41">
        <v>0</v>
      </c>
      <c r="AG18" s="36">
        <f>(E18/7.5*1.3*AF18)</f>
        <v>0</v>
      </c>
      <c r="AH18" s="36">
        <f ca="1">(AG18*BB32)</f>
        <v>0</v>
      </c>
      <c r="AI18" s="41">
        <v>0</v>
      </c>
      <c r="AJ18" s="36">
        <f>(E18/7.5*0.15*AI4)</f>
        <v>0</v>
      </c>
      <c r="AK18" s="36">
        <f ca="1">(AJ18*BB32)</f>
        <v>0</v>
      </c>
      <c r="AL18" s="36">
        <f>(AK4*0.14*-1)</f>
        <v>-229.60000000000002</v>
      </c>
      <c r="AM18" s="36">
        <f>(AK4*0.01*-1)</f>
        <v>-16.399999999999999</v>
      </c>
      <c r="AN18" s="36">
        <f>(AB32+AL18+AM18)</f>
        <v>4554</v>
      </c>
      <c r="AO18" s="36">
        <f>IF($X$14*I18&gt;=AN18,AN18,$X$14*I18)</f>
        <v>4554</v>
      </c>
      <c r="AP18" s="36">
        <f t="shared" si="36"/>
        <v>0</v>
      </c>
      <c r="AQ18" s="43">
        <f ca="1">(AP48*J18+AR18)*-1</f>
        <v>0</v>
      </c>
      <c r="AR18" s="43">
        <f>(AD18+AG18+AG4+AJ18+Z32-AJ4)*(J18*-1)</f>
        <v>0</v>
      </c>
      <c r="AS18" s="43">
        <f t="shared" ca="1" si="37"/>
        <v>0</v>
      </c>
      <c r="AT18" s="43">
        <f>COUNTIF(K18,"Yok")*(0)
+COUNTIF(K18,"1. Derece")*($V$36)
+COUNTIF(K18,"2. Derece")*($V$37)
+COUNTIF(K18,"3. Derece")*($V$38)</f>
        <v>0</v>
      </c>
      <c r="AU18" s="36">
        <f>($X$8)</f>
        <v>26005.5</v>
      </c>
      <c r="AV18" s="36">
        <f t="shared" si="38"/>
        <v>26005.5</v>
      </c>
      <c r="AW18" s="36">
        <f t="shared" si="39"/>
        <v>0</v>
      </c>
      <c r="AX18" s="36">
        <f t="shared" si="32"/>
        <v>0</v>
      </c>
      <c r="AY18" s="36">
        <f t="shared" si="40"/>
        <v>197.38174500000002</v>
      </c>
      <c r="AZ18" s="36">
        <f t="shared" si="33"/>
        <v>26005.5</v>
      </c>
      <c r="BA18" s="36">
        <f>(0)</f>
        <v>0</v>
      </c>
      <c r="BB18" s="36">
        <f t="shared" si="41"/>
        <v>26005.5</v>
      </c>
      <c r="BI18" s="45"/>
      <c r="BJ18" s="46"/>
      <c r="BK18" s="47"/>
      <c r="BL18" s="49"/>
      <c r="BM18" s="47"/>
      <c r="BN18" s="35">
        <v>16</v>
      </c>
      <c r="BO18" s="50">
        <v>8</v>
      </c>
      <c r="BP18" s="51">
        <v>0.18</v>
      </c>
    </row>
    <row r="19" spans="1:68" ht="39.950000000000003" customHeight="1" x14ac:dyDescent="0.25">
      <c r="A19" s="10">
        <f ca="1">(AY49)</f>
        <v>0.2</v>
      </c>
      <c r="B19" s="11" t="s">
        <v>14</v>
      </c>
      <c r="C19" s="24">
        <v>45600</v>
      </c>
      <c r="D19" s="12">
        <f ca="1">(C19*BB33)</f>
        <v>30661.895999999997</v>
      </c>
      <c r="E19" s="13">
        <f>C19/30</f>
        <v>1520</v>
      </c>
      <c r="F19" s="14">
        <f ca="1">(E19*BB33)</f>
        <v>1022.0631999999999</v>
      </c>
      <c r="G19" s="25">
        <v>5730.11</v>
      </c>
      <c r="H19" s="12">
        <f ca="1">(G19*BB33)</f>
        <v>3852.9832650999997</v>
      </c>
      <c r="I19" s="26">
        <v>20</v>
      </c>
      <c r="J19" s="33">
        <v>0</v>
      </c>
      <c r="K19" s="33" t="s">
        <v>1</v>
      </c>
      <c r="L19" s="15">
        <f ca="1">(AZ5+AS5+AQ19+AM49+AQ49+AR49+BA49-M19)</f>
        <v>40147.962220770576</v>
      </c>
      <c r="M19" s="15">
        <f ca="1">(AE19+AH19+AH5+AK19+AA33+AR19)</f>
        <v>4554</v>
      </c>
      <c r="N19" s="16">
        <f t="shared" ca="1" si="34"/>
        <v>44701.962220770576</v>
      </c>
      <c r="O19" s="34"/>
      <c r="P19" s="3"/>
      <c r="Q19" s="8"/>
      <c r="R19" s="42" t="s">
        <v>42</v>
      </c>
      <c r="S19" s="36">
        <f t="shared" ca="1" si="11"/>
        <v>52910.613873376395</v>
      </c>
      <c r="T19" s="36">
        <f ca="1">COUNTIF(O1,"Ocak")*N15
+COUNTIF(O1,"Şubat")*N16
+COUNTIF(O1,"Mart")*N17
+COUNTIF(O1,"Nisan")*N18
+COUNTIF(O1,"Mayıs")*N19
+COUNTIF(O1,"Haziran")*N20
+COUNTIF(O1,"Temmuz")*N21
+COUNTIF(O1,"Ağustos")*N22
+COUNTIF(O1,"Eylül")*N23
+COUNTIF(O1,"Ekim")*N24
+COUNTIF(O1,"Kasım")*N25
+COUNTIF(O1,"Aralık")*N26
+COUNTIF(O1,"Yıllık Toplam")*(N27)*-1
+COUNTIF(O1,"Yıllık Ortalama")*(N28)*-1</f>
        <v>-52910.613873376395</v>
      </c>
      <c r="U19" s="55"/>
      <c r="V19" s="42">
        <f>(1.5)</f>
        <v>1.5</v>
      </c>
      <c r="W19" s="35" t="s">
        <v>0</v>
      </c>
      <c r="X19" s="36">
        <f>($X$17*$V$19)</f>
        <v>759.41700000000003</v>
      </c>
      <c r="Y19" s="36">
        <f>($Y$17*$V$19)</f>
        <v>759.41700000000003</v>
      </c>
      <c r="Z19" s="56">
        <v>0</v>
      </c>
      <c r="AA19" s="36">
        <f t="shared" si="35"/>
        <v>0</v>
      </c>
      <c r="AB19" s="36">
        <f ca="1">(AA19*BB33)</f>
        <v>0</v>
      </c>
      <c r="AC19" s="41">
        <v>0</v>
      </c>
      <c r="AD19" s="36">
        <f>(E19/7.5*1.6*AC19)</f>
        <v>0</v>
      </c>
      <c r="AE19" s="36">
        <f ca="1">(AD19*BB33)</f>
        <v>0</v>
      </c>
      <c r="AF19" s="41">
        <v>0</v>
      </c>
      <c r="AG19" s="36">
        <f>(E19/7.5*1.3*AF19)</f>
        <v>0</v>
      </c>
      <c r="AH19" s="36">
        <f ca="1">(AG19*BB33)</f>
        <v>0</v>
      </c>
      <c r="AI19" s="41">
        <v>0</v>
      </c>
      <c r="AJ19" s="36">
        <f>(E19/7.5*0.15*AI5)</f>
        <v>0</v>
      </c>
      <c r="AK19" s="36">
        <f ca="1">(AJ19*BB33)</f>
        <v>0</v>
      </c>
      <c r="AL19" s="36">
        <f>(AK5*0.14*-1)</f>
        <v>-229.60000000000002</v>
      </c>
      <c r="AM19" s="36">
        <f>(AK5*0.01*-1)</f>
        <v>-16.399999999999999</v>
      </c>
      <c r="AN19" s="36">
        <f>(AB33+AL19+AM19)</f>
        <v>4554</v>
      </c>
      <c r="AO19" s="36">
        <f>IF($X$14*I19&gt;=AN19,AN19,$X$14*I19)</f>
        <v>4554</v>
      </c>
      <c r="AP19" s="36">
        <f t="shared" si="36"/>
        <v>0</v>
      </c>
      <c r="AQ19" s="43">
        <f ca="1">(AP49*J19+AR19)*-1</f>
        <v>0</v>
      </c>
      <c r="AR19" s="43">
        <f>(AD19+AG19+AG5+AJ19+Z33-AJ5)*(J19*-1)</f>
        <v>0</v>
      </c>
      <c r="AS19" s="43">
        <f t="shared" ca="1" si="37"/>
        <v>0</v>
      </c>
      <c r="AT19" s="43">
        <f>COUNTIF(K19,"Yok")*(0)
+COUNTIF(K19,"1. Derece")*($V$36)
+COUNTIF(K19,"2. Derece")*($V$37)
+COUNTIF(K19,"3. Derece")*($V$38)</f>
        <v>0</v>
      </c>
      <c r="AU19" s="36">
        <f>($X$8)</f>
        <v>26005.5</v>
      </c>
      <c r="AV19" s="36">
        <f t="shared" si="38"/>
        <v>26005.5</v>
      </c>
      <c r="AW19" s="36">
        <f t="shared" si="39"/>
        <v>0</v>
      </c>
      <c r="AX19" s="36">
        <f t="shared" si="32"/>
        <v>0</v>
      </c>
      <c r="AY19" s="36">
        <f t="shared" si="40"/>
        <v>197.38174500000002</v>
      </c>
      <c r="AZ19" s="36">
        <f t="shared" si="33"/>
        <v>26005.5</v>
      </c>
      <c r="BA19" s="36">
        <f>(0)</f>
        <v>0</v>
      </c>
      <c r="BB19" s="36">
        <f t="shared" si="41"/>
        <v>26005.5</v>
      </c>
      <c r="BI19" s="45"/>
      <c r="BJ19" s="46"/>
      <c r="BK19" s="47"/>
      <c r="BL19" s="49"/>
      <c r="BM19" s="47"/>
      <c r="BN19" s="35">
        <v>17</v>
      </c>
      <c r="BO19" s="50">
        <v>8.5</v>
      </c>
      <c r="BP19" s="51">
        <v>0.19</v>
      </c>
    </row>
    <row r="20" spans="1:68" ht="39.950000000000003" customHeight="1" x14ac:dyDescent="0.25">
      <c r="A20" s="10">
        <f ca="1">(AY50)</f>
        <v>0.20732906186792163</v>
      </c>
      <c r="B20" s="11" t="s">
        <v>15</v>
      </c>
      <c r="C20" s="24">
        <v>45600</v>
      </c>
      <c r="D20" s="12">
        <f ca="1">(C20*BB34)</f>
        <v>30377.821561999357</v>
      </c>
      <c r="E20" s="13">
        <f>C20/30</f>
        <v>1520</v>
      </c>
      <c r="F20" s="14">
        <f ca="1">(E20*BB34)</f>
        <v>1012.5940520666452</v>
      </c>
      <c r="G20" s="25">
        <v>5730.11</v>
      </c>
      <c r="H20" s="12">
        <f ca="1">(G20*BB34)</f>
        <v>3817.2863840050027</v>
      </c>
      <c r="I20" s="26">
        <v>20</v>
      </c>
      <c r="J20" s="33">
        <v>0</v>
      </c>
      <c r="K20" s="33" t="s">
        <v>1</v>
      </c>
      <c r="L20" s="15">
        <f ca="1">(AZ6+AS6+AQ20+AM50+AQ50+AR50+BA50-M20)</f>
        <v>70206.015312446762</v>
      </c>
      <c r="M20" s="15">
        <f ca="1">(AE20+AH20+AH6+AK20+AA34+AR20)</f>
        <v>4554</v>
      </c>
      <c r="N20" s="16">
        <f t="shared" ca="1" si="34"/>
        <v>74760.015312446762</v>
      </c>
      <c r="O20" s="34"/>
      <c r="P20" s="3"/>
      <c r="Q20" s="8"/>
      <c r="R20" s="42" t="s">
        <v>43</v>
      </c>
      <c r="S20" s="36">
        <f t="shared" ca="1" si="11"/>
        <v>20110.325212155687</v>
      </c>
      <c r="T20" s="36">
        <f ca="1">COUNTIF(O1,"Ocak")*(AZ1-N15)
+COUNTIF(O1,"Şubat")*(AZ2-N16)
+COUNTIF(O1,"Mart")*(AZ3-N17)
+COUNTIF(O1,"Nisan")*(AZ4-N18)
+COUNTIF(O1,"Mayıs")*(AZ5-N19)
+COUNTIF(O1,"Haziran")*(AZ6-N20)
+COUNTIF(O1,"Temmuz")*(AZ7-N21)
+COUNTIF(O1,"Ağustos")*(AZ8-N22)
+COUNTIF(O1,"Eylül")*(AZ9-N23)
+COUNTIF(O1,"Ekim")*(AZ10-N24)
+COUNTIF(O1,"Kasım")*(AZ11-N25)
+COUNTIF(O1,"Aralık")*(AZ12-N26)
+COUNTIF(O1,"Yıllık Toplam")*(AZ13-N27)*-1
+COUNTIF(O1,"Yıllık Ortalama")*(AZ14-N28)*-1</f>
        <v>-20110.325212155687</v>
      </c>
      <c r="U20" s="55"/>
      <c r="V20" s="35" t="s">
        <v>0</v>
      </c>
      <c r="W20" s="35" t="s">
        <v>0</v>
      </c>
      <c r="X20" s="36">
        <f>($X$19/2)</f>
        <v>379.70850000000002</v>
      </c>
      <c r="Y20" s="36">
        <f>($Y$19/2)</f>
        <v>379.70850000000002</v>
      </c>
      <c r="Z20" s="56">
        <v>0</v>
      </c>
      <c r="AA20" s="36">
        <f t="shared" si="35"/>
        <v>0</v>
      </c>
      <c r="AB20" s="36">
        <f ca="1">(AA20*BB34)</f>
        <v>0</v>
      </c>
      <c r="AC20" s="41">
        <v>0</v>
      </c>
      <c r="AD20" s="36">
        <f>(E20/7.5*1.6*AC20)</f>
        <v>0</v>
      </c>
      <c r="AE20" s="36">
        <f ca="1">(AD20*BB34)</f>
        <v>0</v>
      </c>
      <c r="AF20" s="41">
        <v>0</v>
      </c>
      <c r="AG20" s="36">
        <f>(E20/7.5*1.3*AF20)</f>
        <v>0</v>
      </c>
      <c r="AH20" s="36">
        <f ca="1">(AG20*BB34)</f>
        <v>0</v>
      </c>
      <c r="AI20" s="41">
        <v>0</v>
      </c>
      <c r="AJ20" s="36">
        <f>(E20/7.5*0.15*AI6)</f>
        <v>0</v>
      </c>
      <c r="AK20" s="36">
        <f ca="1">(AJ20*BB34)</f>
        <v>0</v>
      </c>
      <c r="AL20" s="36">
        <f>(AK6*0.14*-1)</f>
        <v>-229.60000000000002</v>
      </c>
      <c r="AM20" s="36">
        <f>(AK6*0.01*-1)</f>
        <v>-16.399999999999999</v>
      </c>
      <c r="AN20" s="36">
        <f>(AB34+AL20+AM20)</f>
        <v>4554</v>
      </c>
      <c r="AO20" s="36">
        <f>IF($X$14*I20&gt;=AN20,AN20,$X$14*I20)</f>
        <v>4554</v>
      </c>
      <c r="AP20" s="36">
        <f t="shared" si="36"/>
        <v>0</v>
      </c>
      <c r="AQ20" s="43">
        <f ca="1">(AP50*J20+AR20)*-1</f>
        <v>0</v>
      </c>
      <c r="AR20" s="43">
        <f>(AD20+AG20+AG6+AJ20+Z34-AJ6)*(J20*-1)</f>
        <v>0</v>
      </c>
      <c r="AS20" s="43">
        <f t="shared" ca="1" si="37"/>
        <v>0</v>
      </c>
      <c r="AT20" s="43">
        <f>COUNTIF(K20,"Yok")*(0)
+COUNTIF(K20,"1. Derece")*($V$36)
+COUNTIF(K20,"2. Derece")*($V$37)
+COUNTIF(K20,"3. Derece")*($V$38)</f>
        <v>0</v>
      </c>
      <c r="AU20" s="36">
        <f>($X$8)</f>
        <v>26005.5</v>
      </c>
      <c r="AV20" s="36">
        <f t="shared" si="38"/>
        <v>26005.5</v>
      </c>
      <c r="AW20" s="36">
        <f t="shared" si="39"/>
        <v>0</v>
      </c>
      <c r="AX20" s="36">
        <f t="shared" si="32"/>
        <v>0</v>
      </c>
      <c r="AY20" s="36">
        <f t="shared" si="40"/>
        <v>197.38174500000002</v>
      </c>
      <c r="AZ20" s="36">
        <f t="shared" si="33"/>
        <v>26005.5</v>
      </c>
      <c r="BA20" s="36">
        <f>(0)</f>
        <v>0</v>
      </c>
      <c r="BB20" s="36">
        <f t="shared" si="41"/>
        <v>26005.5</v>
      </c>
      <c r="BI20" s="45"/>
      <c r="BJ20" s="46"/>
      <c r="BK20" s="47"/>
      <c r="BL20" s="49"/>
      <c r="BM20" s="47"/>
      <c r="BN20" s="35">
        <v>18</v>
      </c>
      <c r="BO20" s="50">
        <v>9</v>
      </c>
      <c r="BP20" s="51">
        <v>0.2</v>
      </c>
    </row>
    <row r="21" spans="1:68" ht="39.950000000000003" customHeight="1" x14ac:dyDescent="0.25">
      <c r="A21" s="10">
        <f ca="1">(AY51)</f>
        <v>0.27</v>
      </c>
      <c r="B21" s="11" t="s">
        <v>16</v>
      </c>
      <c r="C21" s="24">
        <v>45600</v>
      </c>
      <c r="D21" s="12">
        <f ca="1">(C21*BB35)</f>
        <v>27948.695999999996</v>
      </c>
      <c r="E21" s="13">
        <f>C21/30</f>
        <v>1520</v>
      </c>
      <c r="F21" s="14">
        <f ca="1">(E21*BB35)</f>
        <v>931.62319999999988</v>
      </c>
      <c r="G21" s="25">
        <v>5730.11</v>
      </c>
      <c r="H21" s="12">
        <f ca="1">(G21*BB35)</f>
        <v>3512.0417200999996</v>
      </c>
      <c r="I21" s="26">
        <v>20</v>
      </c>
      <c r="J21" s="33">
        <v>0</v>
      </c>
      <c r="K21" s="33" t="s">
        <v>1</v>
      </c>
      <c r="L21" s="15">
        <f ca="1">(AZ7+AS7+AQ21+AM51+AQ51+AR51+BA51-M21)</f>
        <v>37093.819357356537</v>
      </c>
      <c r="M21" s="15">
        <f ca="1">(AE21+AH21+AH7+AK21+AA35+AR21)</f>
        <v>4554</v>
      </c>
      <c r="N21" s="16">
        <f t="shared" ca="1" si="34"/>
        <v>41647.819357356537</v>
      </c>
      <c r="O21" s="34"/>
      <c r="P21" s="3"/>
      <c r="Q21" s="8"/>
      <c r="R21" s="45" t="s">
        <v>23</v>
      </c>
      <c r="S21" s="45" t="s">
        <v>71</v>
      </c>
      <c r="T21" s="55"/>
      <c r="U21" s="55"/>
      <c r="Z21" s="56">
        <v>0</v>
      </c>
      <c r="AA21" s="36">
        <f t="shared" si="35"/>
        <v>0</v>
      </c>
      <c r="AB21" s="36">
        <f ca="1">(AA21*BB35)</f>
        <v>0</v>
      </c>
      <c r="AC21" s="41">
        <v>0</v>
      </c>
      <c r="AD21" s="36">
        <f>(E21/7.5*1.6*AC21)</f>
        <v>0</v>
      </c>
      <c r="AE21" s="36">
        <f ca="1">(AD21*BB35)</f>
        <v>0</v>
      </c>
      <c r="AF21" s="41">
        <v>0</v>
      </c>
      <c r="AG21" s="36">
        <f>(E21/7.5*1.3*AF21)</f>
        <v>0</v>
      </c>
      <c r="AH21" s="36">
        <f ca="1">(AG21*BB35)</f>
        <v>0</v>
      </c>
      <c r="AI21" s="41">
        <v>0</v>
      </c>
      <c r="AJ21" s="36">
        <f>(E21/7.5*0.15*AI7)</f>
        <v>0</v>
      </c>
      <c r="AK21" s="36">
        <f ca="1">(AJ21*BB35)</f>
        <v>0</v>
      </c>
      <c r="AL21" s="36">
        <f>(AK7*0.14*-1)</f>
        <v>-229.60000000000002</v>
      </c>
      <c r="AM21" s="36">
        <f>(AK7*0.01*-1)</f>
        <v>-16.399999999999999</v>
      </c>
      <c r="AN21" s="36">
        <f>(AB35+AL21+AM21)</f>
        <v>4554</v>
      </c>
      <c r="AO21" s="36">
        <f>IF($Y$14*I21&gt;=AN21,AN21,$Y$14*I21)</f>
        <v>4554</v>
      </c>
      <c r="AP21" s="36">
        <f t="shared" si="36"/>
        <v>0</v>
      </c>
      <c r="AQ21" s="43">
        <f ca="1">(AP51*J21+AR21)*-1</f>
        <v>0</v>
      </c>
      <c r="AR21" s="43">
        <f>(AD21+AG21+AG7+AJ21+Z35-AJ7)*(J21*-1)</f>
        <v>0</v>
      </c>
      <c r="AS21" s="43">
        <f t="shared" ca="1" si="37"/>
        <v>0</v>
      </c>
      <c r="AT21" s="43">
        <f>COUNTIF(K21,"Yok")*(0)
+COUNTIF(K21,"1. Derece")*($V$36)
+COUNTIF(K21,"2. Derece")*($V$37)
+COUNTIF(K21,"3. Derece")*($V$38)</f>
        <v>0</v>
      </c>
      <c r="AU21" s="36">
        <f>($Y$8)</f>
        <v>26005.5</v>
      </c>
      <c r="AV21" s="36">
        <f t="shared" si="38"/>
        <v>26005.5</v>
      </c>
      <c r="AW21" s="36">
        <f t="shared" si="39"/>
        <v>0</v>
      </c>
      <c r="AX21" s="36">
        <f t="shared" si="32"/>
        <v>0</v>
      </c>
      <c r="AY21" s="36">
        <f t="shared" si="40"/>
        <v>197.38174500000002</v>
      </c>
      <c r="AZ21" s="36">
        <f t="shared" si="33"/>
        <v>26005.5</v>
      </c>
      <c r="BA21" s="36">
        <f>(0)</f>
        <v>0</v>
      </c>
      <c r="BB21" s="36">
        <f t="shared" si="41"/>
        <v>26005.5</v>
      </c>
      <c r="BI21" s="45"/>
      <c r="BJ21" s="46"/>
      <c r="BK21" s="47"/>
      <c r="BL21" s="49"/>
      <c r="BM21" s="47"/>
      <c r="BN21" s="35">
        <v>19</v>
      </c>
      <c r="BO21" s="50">
        <v>9.5</v>
      </c>
      <c r="BP21" s="51">
        <v>0.21</v>
      </c>
    </row>
    <row r="22" spans="1:68" ht="39.950000000000003" customHeight="1" x14ac:dyDescent="0.25">
      <c r="A22" s="10">
        <f ca="1">(AY52)</f>
        <v>0.27</v>
      </c>
      <c r="B22" s="11" t="s">
        <v>17</v>
      </c>
      <c r="C22" s="24">
        <v>45600</v>
      </c>
      <c r="D22" s="12">
        <f ca="1">(C22*BB36)</f>
        <v>27948.695999999996</v>
      </c>
      <c r="E22" s="13">
        <f>C22/30</f>
        <v>1520</v>
      </c>
      <c r="F22" s="14">
        <f ca="1">(E22*BB36)</f>
        <v>931.62319999999988</v>
      </c>
      <c r="G22" s="25">
        <v>5730.11</v>
      </c>
      <c r="H22" s="12">
        <f ca="1">(G22*BB36)</f>
        <v>3512.0417200999996</v>
      </c>
      <c r="I22" s="26">
        <v>20</v>
      </c>
      <c r="J22" s="33">
        <v>0</v>
      </c>
      <c r="K22" s="33" t="s">
        <v>1</v>
      </c>
      <c r="L22" s="15">
        <f ca="1">(AZ8+AS8+AQ22+AM52+AQ52+AR52+BA52-M22)</f>
        <v>38035.689357356532</v>
      </c>
      <c r="M22" s="15">
        <f ca="1">(AE22+AH22+AH8+AK22+AA36+AR22)</f>
        <v>4554</v>
      </c>
      <c r="N22" s="16">
        <f t="shared" ca="1" si="34"/>
        <v>42589.689357356532</v>
      </c>
      <c r="O22" s="34"/>
      <c r="P22" s="3"/>
      <c r="Q22" s="8"/>
      <c r="R22" s="58" t="s">
        <v>22</v>
      </c>
      <c r="S22" s="59" t="s">
        <v>89</v>
      </c>
      <c r="T22" s="55"/>
      <c r="U22" s="55"/>
      <c r="V22" s="35">
        <f>(1500)</f>
        <v>1500</v>
      </c>
      <c r="W22" s="35" t="s">
        <v>0</v>
      </c>
      <c r="X22" s="36">
        <f>($V$29*$V$22)</f>
        <v>1518.8340000000001</v>
      </c>
      <c r="Y22" s="36">
        <f>($W$29*$V$22)</f>
        <v>1518.8340000000001</v>
      </c>
      <c r="Z22" s="56">
        <v>0</v>
      </c>
      <c r="AA22" s="36">
        <f t="shared" si="35"/>
        <v>0</v>
      </c>
      <c r="AB22" s="36">
        <f ca="1">(AA22*BB36)</f>
        <v>0</v>
      </c>
      <c r="AC22" s="41">
        <v>0</v>
      </c>
      <c r="AD22" s="36">
        <f>(E22/7.5*1.6*AC22)</f>
        <v>0</v>
      </c>
      <c r="AE22" s="36">
        <f ca="1">(AD22*BB36)</f>
        <v>0</v>
      </c>
      <c r="AF22" s="41">
        <v>0</v>
      </c>
      <c r="AG22" s="36">
        <f>(E22/7.5*1.3*AF22)</f>
        <v>0</v>
      </c>
      <c r="AH22" s="36">
        <f ca="1">(AG22*BB36)</f>
        <v>0</v>
      </c>
      <c r="AI22" s="41">
        <v>0</v>
      </c>
      <c r="AJ22" s="36">
        <f>(E22/7.5*0.15*AI8)</f>
        <v>0</v>
      </c>
      <c r="AK22" s="36">
        <f ca="1">(AJ22*BB36)</f>
        <v>0</v>
      </c>
      <c r="AL22" s="36">
        <f>(AK8*0.14*-1)</f>
        <v>-229.60000000000002</v>
      </c>
      <c r="AM22" s="36">
        <f>(AK8*0.01*-1)</f>
        <v>-16.399999999999999</v>
      </c>
      <c r="AN22" s="36">
        <f>(AB36+AL22+AM22)</f>
        <v>4554</v>
      </c>
      <c r="AO22" s="36">
        <f>IF($Y$14*I22&gt;=AN22,AN22,$Y$14*I22)</f>
        <v>4554</v>
      </c>
      <c r="AP22" s="36">
        <f t="shared" si="36"/>
        <v>0</v>
      </c>
      <c r="AQ22" s="43">
        <f ca="1">(AP52*J22+AR22)*-1</f>
        <v>0</v>
      </c>
      <c r="AR22" s="43">
        <f>(AD22+AG22+AG8+AJ22+Z36-AJ8)*(J22*-1)</f>
        <v>0</v>
      </c>
      <c r="AS22" s="43">
        <f t="shared" ca="1" si="37"/>
        <v>0</v>
      </c>
      <c r="AT22" s="43">
        <f>COUNTIF(K22,"Yok")*(0)
+COUNTIF(K22,"1. Derece")*($V$36)
+COUNTIF(K22,"2. Derece")*($V$37)
+COUNTIF(K22,"3. Derece")*($V$38)</f>
        <v>0</v>
      </c>
      <c r="AU22" s="36">
        <f>($Y$8)</f>
        <v>26005.5</v>
      </c>
      <c r="AV22" s="36">
        <f t="shared" si="38"/>
        <v>26005.5</v>
      </c>
      <c r="AW22" s="36">
        <f t="shared" si="39"/>
        <v>0</v>
      </c>
      <c r="AX22" s="36">
        <f t="shared" si="32"/>
        <v>0</v>
      </c>
      <c r="AY22" s="36">
        <f t="shared" si="40"/>
        <v>197.38174500000002</v>
      </c>
      <c r="AZ22" s="36">
        <f t="shared" si="33"/>
        <v>26005.5</v>
      </c>
      <c r="BA22" s="36">
        <f>(0)</f>
        <v>0</v>
      </c>
      <c r="BB22" s="36">
        <f t="shared" si="41"/>
        <v>26005.5</v>
      </c>
      <c r="BC22" s="36">
        <f ca="1">(AZ1)</f>
        <v>49450.355922190676</v>
      </c>
      <c r="BD22" s="36">
        <f ca="1">(BC22*0.205)</f>
        <v>10137.322964049088</v>
      </c>
      <c r="BE22" s="36">
        <f ca="1">(BC22*0.01)</f>
        <v>494.50355922190676</v>
      </c>
      <c r="BF22" s="36">
        <f ca="1">(BC22*0.05*-1)</f>
        <v>-2472.5177961095342</v>
      </c>
      <c r="BG22" s="36">
        <f ca="1">(BC22+BD22+BE22+BF22)</f>
        <v>57609.66464935214</v>
      </c>
      <c r="BI22" s="45"/>
      <c r="BJ22" s="46"/>
      <c r="BK22" s="47"/>
      <c r="BL22" s="49"/>
      <c r="BM22" s="47"/>
      <c r="BN22" s="35">
        <v>20</v>
      </c>
      <c r="BO22" s="50">
        <v>10</v>
      </c>
      <c r="BP22" s="51">
        <v>0.22</v>
      </c>
    </row>
    <row r="23" spans="1:68" ht="39.950000000000003" customHeight="1" x14ac:dyDescent="0.25">
      <c r="A23" s="10">
        <f ca="1">(AY53)</f>
        <v>0.27</v>
      </c>
      <c r="B23" s="11" t="s">
        <v>18</v>
      </c>
      <c r="C23" s="24">
        <v>45600</v>
      </c>
      <c r="D23" s="12">
        <f ca="1">(C23*BB37)</f>
        <v>27948.695999999996</v>
      </c>
      <c r="E23" s="13">
        <f>C23/30</f>
        <v>1520</v>
      </c>
      <c r="F23" s="14">
        <f ca="1">(E23*BB37)</f>
        <v>931.62319999999988</v>
      </c>
      <c r="G23" s="25">
        <v>5730.11</v>
      </c>
      <c r="H23" s="12">
        <f ca="1">(G23*BB37)</f>
        <v>3512.0417200999996</v>
      </c>
      <c r="I23" s="26">
        <v>20</v>
      </c>
      <c r="J23" s="33">
        <v>0</v>
      </c>
      <c r="K23" s="33" t="s">
        <v>1</v>
      </c>
      <c r="L23" s="15">
        <f ca="1">(AZ9+AS9+AQ23+AM53+AQ53+AR53+BA53-M23)</f>
        <v>66147.755357356538</v>
      </c>
      <c r="M23" s="15">
        <f ca="1">(AE23+AH23+AH9+AK23+AA37+AR23)</f>
        <v>4554</v>
      </c>
      <c r="N23" s="16">
        <f t="shared" ca="1" si="34"/>
        <v>70701.755357356538</v>
      </c>
      <c r="O23" s="34"/>
      <c r="P23" s="3"/>
      <c r="Q23" s="8"/>
      <c r="R23" s="58" t="s">
        <v>24</v>
      </c>
      <c r="S23" s="60" t="s">
        <v>48</v>
      </c>
      <c r="T23" s="55"/>
      <c r="U23" s="55"/>
      <c r="V23" s="35">
        <f>(8000)</f>
        <v>8000</v>
      </c>
      <c r="W23" s="35" t="s">
        <v>0</v>
      </c>
      <c r="X23" s="36">
        <f>($V$29*$V$23)</f>
        <v>8100.4480000000003</v>
      </c>
      <c r="Y23" s="36">
        <f>($W$29*$V$23)</f>
        <v>8100.4480000000003</v>
      </c>
      <c r="Z23" s="56">
        <v>0</v>
      </c>
      <c r="AA23" s="36">
        <f t="shared" si="35"/>
        <v>0</v>
      </c>
      <c r="AB23" s="36">
        <f ca="1">(AA23*BB37)</f>
        <v>0</v>
      </c>
      <c r="AC23" s="41">
        <v>0</v>
      </c>
      <c r="AD23" s="36">
        <f>(E23/7.5*1.6*AC23)</f>
        <v>0</v>
      </c>
      <c r="AE23" s="36">
        <f ca="1">(AD23*BB37)</f>
        <v>0</v>
      </c>
      <c r="AF23" s="41">
        <v>0</v>
      </c>
      <c r="AG23" s="36">
        <f>(E23/7.5*1.3*AF23)</f>
        <v>0</v>
      </c>
      <c r="AH23" s="36">
        <f ca="1">(AG23*BB37)</f>
        <v>0</v>
      </c>
      <c r="AI23" s="41">
        <v>0</v>
      </c>
      <c r="AJ23" s="36">
        <f>(E23/7.5*0.15*AI9)</f>
        <v>0</v>
      </c>
      <c r="AK23" s="36">
        <f ca="1">(AJ23*BB37)</f>
        <v>0</v>
      </c>
      <c r="AL23" s="36">
        <f>(AK9*0.14*-1)</f>
        <v>-229.60000000000002</v>
      </c>
      <c r="AM23" s="36">
        <f>(AK9*0.01*-1)</f>
        <v>-16.399999999999999</v>
      </c>
      <c r="AN23" s="36">
        <f>(AB37+AL23+AM23)</f>
        <v>4554</v>
      </c>
      <c r="AO23" s="36">
        <f>IF($Y$14*I23&gt;=AN23,AN23,$Y$14*I23)</f>
        <v>4554</v>
      </c>
      <c r="AP23" s="36">
        <f t="shared" si="36"/>
        <v>0</v>
      </c>
      <c r="AQ23" s="43">
        <f ca="1">(AP53*J23+AR23)*-1</f>
        <v>0</v>
      </c>
      <c r="AR23" s="43">
        <f>(AD23+AG23+AG9+AJ23+Z37-AJ9)*(J23*-1)</f>
        <v>0</v>
      </c>
      <c r="AS23" s="43">
        <f t="shared" ca="1" si="37"/>
        <v>0</v>
      </c>
      <c r="AT23" s="43">
        <f>COUNTIF(K23,"Yok")*(0)
+COUNTIF(K23,"1. Derece")*($V$36)
+COUNTIF(K23,"2. Derece")*($V$37)
+COUNTIF(K23,"3. Derece")*($V$38)</f>
        <v>0</v>
      </c>
      <c r="AU23" s="36">
        <f>($Y$8)</f>
        <v>26005.5</v>
      </c>
      <c r="AV23" s="36">
        <f t="shared" si="38"/>
        <v>26005.5</v>
      </c>
      <c r="AW23" s="36">
        <f t="shared" si="39"/>
        <v>0</v>
      </c>
      <c r="AX23" s="36">
        <f t="shared" si="32"/>
        <v>0</v>
      </c>
      <c r="AY23" s="36">
        <f t="shared" si="40"/>
        <v>197.38174500000002</v>
      </c>
      <c r="AZ23" s="36">
        <f t="shared" si="33"/>
        <v>26005.5</v>
      </c>
      <c r="BA23" s="36">
        <f>(0)</f>
        <v>0</v>
      </c>
      <c r="BB23" s="36">
        <f t="shared" si="41"/>
        <v>26005.5</v>
      </c>
      <c r="BC23" s="36">
        <f ca="1">(AZ2)</f>
        <v>49886.308233204181</v>
      </c>
      <c r="BD23" s="36">
        <f t="shared" ref="BD23:BD33" ca="1" si="42">(BC23*0.205)</f>
        <v>10226.693187806857</v>
      </c>
      <c r="BE23" s="36">
        <f t="shared" ref="BE23:BE33" ca="1" si="43">(BC23*0.01)</f>
        <v>498.86308233204181</v>
      </c>
      <c r="BF23" s="36">
        <f t="shared" ref="BF23:BF33" ca="1" si="44">(BC23*0.05*-1)</f>
        <v>-2494.3154116602091</v>
      </c>
      <c r="BG23" s="36">
        <f t="shared" ref="BG23:BG33" ca="1" si="45">(BC23+BD23+BE23+BF23)</f>
        <v>58117.549091682871</v>
      </c>
      <c r="BI23" s="45"/>
      <c r="BJ23" s="46"/>
      <c r="BK23" s="47"/>
      <c r="BL23" s="49"/>
      <c r="BM23" s="47"/>
      <c r="BN23" s="35">
        <v>21</v>
      </c>
      <c r="BO23" s="50">
        <v>10.5</v>
      </c>
      <c r="BP23" s="51">
        <v>0.23</v>
      </c>
    </row>
    <row r="24" spans="1:68" ht="39.950000000000003" customHeight="1" x14ac:dyDescent="0.25">
      <c r="A24" s="10">
        <f ca="1">(AY54)</f>
        <v>0.27</v>
      </c>
      <c r="B24" s="11" t="s">
        <v>19</v>
      </c>
      <c r="C24" s="24">
        <v>45600</v>
      </c>
      <c r="D24" s="12">
        <f ca="1">(C24*BB38)</f>
        <v>27948.695999999996</v>
      </c>
      <c r="E24" s="13">
        <f>C24/30</f>
        <v>1520</v>
      </c>
      <c r="F24" s="14">
        <f ca="1">(E24*BB38)</f>
        <v>931.62319999999988</v>
      </c>
      <c r="G24" s="25">
        <v>5730.11</v>
      </c>
      <c r="H24" s="12">
        <f ca="1">(G24*BB38)</f>
        <v>3512.0417200999996</v>
      </c>
      <c r="I24" s="26">
        <v>20</v>
      </c>
      <c r="J24" s="33">
        <v>0</v>
      </c>
      <c r="K24" s="33" t="s">
        <v>1</v>
      </c>
      <c r="L24" s="15">
        <f ca="1">(AZ10+AS10+AQ24+AM54+AQ54+AR54+BA54-M24)</f>
        <v>38199.059357356535</v>
      </c>
      <c r="M24" s="15">
        <f ca="1">(AE24+AH24+AH10+AK24+AA38+AR24)</f>
        <v>4554</v>
      </c>
      <c r="N24" s="16">
        <f t="shared" ca="1" si="34"/>
        <v>42753.059357356535</v>
      </c>
      <c r="O24" s="34"/>
      <c r="P24" s="3"/>
      <c r="Q24" s="8"/>
      <c r="R24" s="58" t="s">
        <v>44</v>
      </c>
      <c r="S24" s="36" t="s">
        <v>53</v>
      </c>
      <c r="T24" s="55"/>
      <c r="U24" s="55"/>
      <c r="V24" s="35">
        <f>(500)</f>
        <v>500</v>
      </c>
      <c r="W24" s="35" t="s">
        <v>0</v>
      </c>
      <c r="X24" s="36">
        <f>($V$29*$V$24)</f>
        <v>506.27800000000002</v>
      </c>
      <c r="Y24" s="36">
        <f>($W$29*$V$24)</f>
        <v>506.27800000000002</v>
      </c>
      <c r="Z24" s="56">
        <v>0</v>
      </c>
      <c r="AA24" s="36">
        <f t="shared" si="35"/>
        <v>0</v>
      </c>
      <c r="AB24" s="36">
        <f ca="1">(AA24*BB38)</f>
        <v>0</v>
      </c>
      <c r="AC24" s="41">
        <v>0</v>
      </c>
      <c r="AD24" s="36">
        <f>(E24/7.5*1.6*AC24)</f>
        <v>0</v>
      </c>
      <c r="AE24" s="36">
        <f ca="1">(AD24*BB38)</f>
        <v>0</v>
      </c>
      <c r="AF24" s="41">
        <v>0</v>
      </c>
      <c r="AG24" s="36">
        <f>(E24/7.5*1.3*AF24)</f>
        <v>0</v>
      </c>
      <c r="AH24" s="36">
        <f ca="1">(AG24*BB38)</f>
        <v>0</v>
      </c>
      <c r="AI24" s="41">
        <v>0</v>
      </c>
      <c r="AJ24" s="36">
        <f>(E24/7.5*0.15*AI10)</f>
        <v>0</v>
      </c>
      <c r="AK24" s="36">
        <f ca="1">(AJ24*BB38)</f>
        <v>0</v>
      </c>
      <c r="AL24" s="36">
        <f>(AK10*0.14*-1)</f>
        <v>-229.60000000000002</v>
      </c>
      <c r="AM24" s="36">
        <f>(AK10*0.01*-1)</f>
        <v>-16.399999999999999</v>
      </c>
      <c r="AN24" s="36">
        <f>(AB38+AL24+AM24)</f>
        <v>4554</v>
      </c>
      <c r="AO24" s="36">
        <f>IF($Y$14*I24&gt;=AN24,AN24,$Y$14*I24)</f>
        <v>4554</v>
      </c>
      <c r="AP24" s="36">
        <f t="shared" si="36"/>
        <v>0</v>
      </c>
      <c r="AQ24" s="43">
        <f ca="1">(AP54*J24+AR24)*-1</f>
        <v>0</v>
      </c>
      <c r="AR24" s="43">
        <f>(AD24+AG24+AG10+AJ24+Z38-AJ10)*(J24*-1)</f>
        <v>0</v>
      </c>
      <c r="AS24" s="43">
        <f t="shared" ca="1" si="37"/>
        <v>0</v>
      </c>
      <c r="AT24" s="43">
        <f>COUNTIF(K24,"Yok")*(0)
+COUNTIF(K24,"1. Derece")*($V$36)
+COUNTIF(K24,"2. Derece")*($V$37)
+COUNTIF(K24,"3. Derece")*($V$38)</f>
        <v>0</v>
      </c>
      <c r="AU24" s="36">
        <f>($Y$8)</f>
        <v>26005.5</v>
      </c>
      <c r="AV24" s="36">
        <f t="shared" si="38"/>
        <v>26005.5</v>
      </c>
      <c r="AW24" s="36">
        <f t="shared" si="39"/>
        <v>0</v>
      </c>
      <c r="AX24" s="36">
        <f t="shared" si="32"/>
        <v>0</v>
      </c>
      <c r="AY24" s="36">
        <f t="shared" si="40"/>
        <v>197.38174500000002</v>
      </c>
      <c r="AZ24" s="36">
        <f t="shared" si="33"/>
        <v>26005.5</v>
      </c>
      <c r="BA24" s="36">
        <f>(0)</f>
        <v>0</v>
      </c>
      <c r="BB24" s="36">
        <f t="shared" si="41"/>
        <v>26005.5</v>
      </c>
      <c r="BC24" s="36">
        <f ca="1">(AZ3)</f>
        <v>104702.16176949885</v>
      </c>
      <c r="BD24" s="36">
        <f t="shared" ca="1" si="42"/>
        <v>21463.943162747262</v>
      </c>
      <c r="BE24" s="36">
        <f t="shared" ca="1" si="43"/>
        <v>1047.0216176949884</v>
      </c>
      <c r="BF24" s="36">
        <f t="shared" ca="1" si="44"/>
        <v>-5235.1080884749426</v>
      </c>
      <c r="BG24" s="36">
        <f t="shared" ca="1" si="45"/>
        <v>121978.01846146617</v>
      </c>
      <c r="BI24" s="45"/>
      <c r="BJ24" s="46"/>
      <c r="BK24" s="47"/>
      <c r="BL24" s="49"/>
      <c r="BM24" s="47"/>
      <c r="BN24" s="35">
        <v>22</v>
      </c>
      <c r="BO24" s="50">
        <v>11</v>
      </c>
      <c r="BP24" s="51">
        <v>0.24</v>
      </c>
    </row>
    <row r="25" spans="1:68" ht="39.950000000000003" customHeight="1" x14ac:dyDescent="0.25">
      <c r="A25" s="10">
        <f ca="1">(AY55)</f>
        <v>0.27</v>
      </c>
      <c r="B25" s="11" t="s">
        <v>20</v>
      </c>
      <c r="C25" s="24">
        <v>45600</v>
      </c>
      <c r="D25" s="12">
        <f ca="1">(C25*BB39)</f>
        <v>27948.695999999996</v>
      </c>
      <c r="E25" s="13">
        <f>C25/30</f>
        <v>1520</v>
      </c>
      <c r="F25" s="14">
        <f ca="1">(E25*BB39)</f>
        <v>931.62319999999988</v>
      </c>
      <c r="G25" s="25">
        <v>5730.11</v>
      </c>
      <c r="H25" s="12">
        <f ca="1">(G25*BB39)</f>
        <v>3512.0417200999996</v>
      </c>
      <c r="I25" s="26">
        <v>20</v>
      </c>
      <c r="J25" s="33">
        <v>0</v>
      </c>
      <c r="K25" s="33" t="s">
        <v>1</v>
      </c>
      <c r="L25" s="15">
        <f ca="1">(AZ11+AS11+AQ25+AM55+AQ55+AR55+BA55-M25)</f>
        <v>38199.059357356535</v>
      </c>
      <c r="M25" s="15">
        <f ca="1">(AE25+AH25+AH11+AK25+AA39+AR25)</f>
        <v>4554</v>
      </c>
      <c r="N25" s="16">
        <f t="shared" ca="1" si="34"/>
        <v>42753.059357356535</v>
      </c>
      <c r="O25" s="34"/>
      <c r="P25" s="3"/>
      <c r="Q25" s="8"/>
      <c r="R25" s="58" t="s">
        <v>28</v>
      </c>
      <c r="S25" s="60" t="s">
        <v>49</v>
      </c>
      <c r="T25" s="55"/>
      <c r="U25" s="55"/>
      <c r="V25" s="35">
        <f>(1000)</f>
        <v>1000</v>
      </c>
      <c r="W25" s="35" t="s">
        <v>0</v>
      </c>
      <c r="X25" s="36">
        <f>($V$30*$V$25)</f>
        <v>15848.414999999999</v>
      </c>
      <c r="Y25" s="36">
        <f>($W$30*$V$25)</f>
        <v>15848.414999999999</v>
      </c>
      <c r="Z25" s="56">
        <v>0</v>
      </c>
      <c r="AA25" s="36">
        <f t="shared" si="35"/>
        <v>0</v>
      </c>
      <c r="AB25" s="36">
        <f ca="1">(AA25*BB39)</f>
        <v>0</v>
      </c>
      <c r="AC25" s="41">
        <v>0</v>
      </c>
      <c r="AD25" s="36">
        <f>(E25/7.5*1.6*AC25)</f>
        <v>0</v>
      </c>
      <c r="AE25" s="36">
        <f ca="1">(AD25*BB39)</f>
        <v>0</v>
      </c>
      <c r="AF25" s="41">
        <v>0</v>
      </c>
      <c r="AG25" s="36">
        <f>(E25/7.5*1.3*AF25)</f>
        <v>0</v>
      </c>
      <c r="AH25" s="36">
        <f ca="1">(AG25*BB39)</f>
        <v>0</v>
      </c>
      <c r="AI25" s="41">
        <v>0</v>
      </c>
      <c r="AJ25" s="36">
        <f>(E25/7.5*0.15*AI11)</f>
        <v>0</v>
      </c>
      <c r="AK25" s="36">
        <f ca="1">(AJ25*BB39)</f>
        <v>0</v>
      </c>
      <c r="AL25" s="36">
        <f>(AK11*0.14*-1)</f>
        <v>-229.60000000000002</v>
      </c>
      <c r="AM25" s="36">
        <f>(AK11*0.01*-1)</f>
        <v>-16.399999999999999</v>
      </c>
      <c r="AN25" s="36">
        <f>(AB39+AL25+AM25)</f>
        <v>4554</v>
      </c>
      <c r="AO25" s="36">
        <f>IF($Y$14*I25&gt;=AN25,AN25,$Y$14*I25)</f>
        <v>4554</v>
      </c>
      <c r="AP25" s="36">
        <f t="shared" si="36"/>
        <v>0</v>
      </c>
      <c r="AQ25" s="43">
        <f ca="1">(AP55*J25+AR25)*-1</f>
        <v>0</v>
      </c>
      <c r="AR25" s="43">
        <f>(AD25+AG25+AG11+AJ25+Z39-AJ11)*(J25*-1)</f>
        <v>0</v>
      </c>
      <c r="AS25" s="43">
        <f t="shared" ca="1" si="37"/>
        <v>0</v>
      </c>
      <c r="AT25" s="43">
        <f>COUNTIF(K25,"Yok")*(0)
+COUNTIF(K25,"1. Derece")*($V$36)
+COUNTIF(K25,"2. Derece")*($V$37)
+COUNTIF(K25,"3. Derece")*($V$38)</f>
        <v>0</v>
      </c>
      <c r="AU25" s="36">
        <f>($Y$8)</f>
        <v>26005.5</v>
      </c>
      <c r="AV25" s="36">
        <f t="shared" si="38"/>
        <v>26005.5</v>
      </c>
      <c r="AW25" s="36">
        <f t="shared" si="39"/>
        <v>0</v>
      </c>
      <c r="AX25" s="36">
        <f t="shared" si="32"/>
        <v>0</v>
      </c>
      <c r="AY25" s="36">
        <f t="shared" si="40"/>
        <v>197.38174500000002</v>
      </c>
      <c r="AZ25" s="36">
        <f t="shared" si="33"/>
        <v>26005.5</v>
      </c>
      <c r="BA25" s="36">
        <f>(0)</f>
        <v>0</v>
      </c>
      <c r="BB25" s="36">
        <f t="shared" si="41"/>
        <v>26005.5</v>
      </c>
      <c r="BC25" s="36">
        <f ca="1">(AZ4)</f>
        <v>59282.948298062198</v>
      </c>
      <c r="BD25" s="36">
        <f t="shared" ca="1" si="42"/>
        <v>12153.004401102749</v>
      </c>
      <c r="BE25" s="36">
        <f t="shared" ca="1" si="43"/>
        <v>592.82948298062195</v>
      </c>
      <c r="BF25" s="36">
        <f t="shared" ca="1" si="44"/>
        <v>-2964.1474149031101</v>
      </c>
      <c r="BG25" s="36">
        <f t="shared" ca="1" si="45"/>
        <v>69064.63476724246</v>
      </c>
      <c r="BI25" s="45"/>
      <c r="BJ25" s="46"/>
      <c r="BK25" s="47"/>
      <c r="BL25" s="49"/>
      <c r="BM25" s="47"/>
      <c r="BN25" s="35">
        <v>23</v>
      </c>
      <c r="BO25" s="50">
        <v>11.5</v>
      </c>
      <c r="BP25" s="51">
        <v>0.25</v>
      </c>
    </row>
    <row r="26" spans="1:68" ht="39.950000000000003" customHeight="1" x14ac:dyDescent="0.25">
      <c r="A26" s="10">
        <f ca="1">(AY56)</f>
        <v>0.27</v>
      </c>
      <c r="B26" s="11" t="s">
        <v>21</v>
      </c>
      <c r="C26" s="24">
        <v>45600</v>
      </c>
      <c r="D26" s="12">
        <f ca="1">(C26*BB40)</f>
        <v>27948.695999999996</v>
      </c>
      <c r="E26" s="13">
        <f>C26/30</f>
        <v>1520</v>
      </c>
      <c r="F26" s="14">
        <f ca="1">(E26*BB40)</f>
        <v>931.62319999999988</v>
      </c>
      <c r="G26" s="25">
        <v>5730.11</v>
      </c>
      <c r="H26" s="12">
        <f ca="1">(G26*BB40)</f>
        <v>3512.0417200999996</v>
      </c>
      <c r="I26" s="26">
        <v>20</v>
      </c>
      <c r="J26" s="33">
        <v>0</v>
      </c>
      <c r="K26" s="33" t="s">
        <v>1</v>
      </c>
      <c r="L26" s="15">
        <f ca="1">(AZ12+AS12+AQ26+AM56+AQ56+AR56+BA56-M26)</f>
        <v>66147.755357356538</v>
      </c>
      <c r="M26" s="15">
        <f ca="1">(AE26+AH26+AH12+AK26+AA40+AR26)</f>
        <v>4554</v>
      </c>
      <c r="N26" s="16">
        <f t="shared" ca="1" si="34"/>
        <v>70701.755357356538</v>
      </c>
      <c r="O26" s="34"/>
      <c r="P26" s="3"/>
      <c r="Q26" s="8"/>
      <c r="R26" s="58" t="s">
        <v>26</v>
      </c>
      <c r="S26" s="59" t="s">
        <v>90</v>
      </c>
      <c r="T26" s="55"/>
      <c r="U26" s="55"/>
      <c r="V26" s="35">
        <f>($V$22+$V$23)</f>
        <v>9500</v>
      </c>
      <c r="W26" s="35">
        <f>(2.15)</f>
        <v>2.15</v>
      </c>
      <c r="X26" s="36">
        <f>($V$29*$V$26*$W$26)</f>
        <v>20681.456299999998</v>
      </c>
      <c r="Y26" s="36">
        <f>($W$29*$V$26*$W$26)</f>
        <v>20681.456299999998</v>
      </c>
      <c r="Z26" s="56">
        <v>0</v>
      </c>
      <c r="AA26" s="36">
        <f t="shared" si="35"/>
        <v>0</v>
      </c>
      <c r="AB26" s="36">
        <f ca="1">(AA26*BB40)</f>
        <v>0</v>
      </c>
      <c r="AC26" s="41">
        <v>0</v>
      </c>
      <c r="AD26" s="36">
        <f>(E26/7.5*1.6*AC26)</f>
        <v>0</v>
      </c>
      <c r="AE26" s="36">
        <f ca="1">(AD26*BB40)</f>
        <v>0</v>
      </c>
      <c r="AF26" s="41">
        <v>0</v>
      </c>
      <c r="AG26" s="36">
        <f>(E26/7.5*1.3*AF26)</f>
        <v>0</v>
      </c>
      <c r="AH26" s="36">
        <f ca="1">(AG26*BB40)</f>
        <v>0</v>
      </c>
      <c r="AI26" s="41">
        <v>0</v>
      </c>
      <c r="AJ26" s="36">
        <f>(E26/7.5*0.15*AI12)</f>
        <v>0</v>
      </c>
      <c r="AK26" s="36">
        <f ca="1">(AJ26*BB40)</f>
        <v>0</v>
      </c>
      <c r="AL26" s="36">
        <f>(AK12*0.14*-1)</f>
        <v>-229.60000000000002</v>
      </c>
      <c r="AM26" s="36">
        <f>(AK12*0.01*-1)</f>
        <v>-16.399999999999999</v>
      </c>
      <c r="AN26" s="36">
        <f>(AB40+AL26+AM26)</f>
        <v>4554</v>
      </c>
      <c r="AO26" s="36">
        <f>IF($Y$14*I26&gt;=AN26,AN26,$Y$14*I26)</f>
        <v>4554</v>
      </c>
      <c r="AP26" s="36">
        <f t="shared" si="36"/>
        <v>0</v>
      </c>
      <c r="AQ26" s="43">
        <f ca="1">(AP56*J26+AR26)*-1</f>
        <v>0</v>
      </c>
      <c r="AR26" s="43">
        <f>(AD26+AG26+AG12+AJ26+Z40-AJ12)*(J26*-1)</f>
        <v>0</v>
      </c>
      <c r="AS26" s="43">
        <f t="shared" ca="1" si="37"/>
        <v>0</v>
      </c>
      <c r="AT26" s="43">
        <f>COUNTIF(K26,"Yok")*(0)
+COUNTIF(K26,"1. Derece")*($V$36)
+COUNTIF(K26,"2. Derece")*($V$37)
+COUNTIF(K26,"3. Derece")*($V$38)</f>
        <v>0</v>
      </c>
      <c r="AU26" s="36">
        <f>($Y$8)</f>
        <v>26005.5</v>
      </c>
      <c r="AV26" s="36">
        <f t="shared" si="38"/>
        <v>26005.5</v>
      </c>
      <c r="AW26" s="36">
        <f t="shared" si="39"/>
        <v>0</v>
      </c>
      <c r="AX26" s="36">
        <f t="shared" si="32"/>
        <v>0</v>
      </c>
      <c r="AY26" s="36">
        <f t="shared" si="40"/>
        <v>197.38174500000002</v>
      </c>
      <c r="AZ26" s="36">
        <f t="shared" si="33"/>
        <v>26005.5</v>
      </c>
      <c r="BA26" s="36">
        <f>(0)</f>
        <v>0</v>
      </c>
      <c r="BB26" s="36">
        <f t="shared" si="41"/>
        <v>26005.5</v>
      </c>
      <c r="BC26" s="36">
        <f ca="1">(AZ5)</f>
        <v>59282.948298062198</v>
      </c>
      <c r="BD26" s="36">
        <f t="shared" ca="1" si="42"/>
        <v>12153.004401102749</v>
      </c>
      <c r="BE26" s="36">
        <f t="shared" ca="1" si="43"/>
        <v>592.82948298062195</v>
      </c>
      <c r="BF26" s="36">
        <f t="shared" ca="1" si="44"/>
        <v>-2964.1474149031101</v>
      </c>
      <c r="BG26" s="36">
        <f t="shared" ca="1" si="45"/>
        <v>69064.63476724246</v>
      </c>
      <c r="BI26" s="45"/>
      <c r="BJ26" s="46"/>
      <c r="BK26" s="47"/>
      <c r="BL26" s="49"/>
      <c r="BM26" s="47"/>
      <c r="BN26" s="35">
        <v>24</v>
      </c>
      <c r="BO26" s="50">
        <v>12</v>
      </c>
      <c r="BP26" s="51">
        <v>0.26</v>
      </c>
    </row>
    <row r="27" spans="1:68" ht="39.950000000000003" customHeight="1" x14ac:dyDescent="0.25">
      <c r="A27" s="17" t="s">
        <v>0</v>
      </c>
      <c r="B27" s="18" t="s">
        <v>74</v>
      </c>
      <c r="C27" s="7">
        <f t="shared" ref="C27:D27" si="46">(C15+C16+C17+C18+C19+C20+C21+C22+C23+C24+C25+C26)</f>
        <v>532000</v>
      </c>
      <c r="D27" s="7">
        <f t="shared" ca="1" si="46"/>
        <v>346253.97381915117</v>
      </c>
      <c r="E27" s="7">
        <f>(E15+E16+E17+E18+E19+E20+E21+E22+E23+E24+E25+E26)</f>
        <v>17733.333333333336</v>
      </c>
      <c r="F27" s="7">
        <f ca="1">(F15+F16+F17+F18+F19+F20+F21+F22+F23+F24+F25+F26)</f>
        <v>11541.799127305039</v>
      </c>
      <c r="G27" s="7">
        <f t="shared" ref="G27:H27" si="47">(G15+G16+G17+G18+G19+G20+G21+G22+G23+G24+G25+G26)</f>
        <v>65542.899999999994</v>
      </c>
      <c r="H27" s="7">
        <f t="shared" ca="1" si="47"/>
        <v>42575.004327325791</v>
      </c>
      <c r="I27" s="19">
        <f>(I15+I16+I17+I18+I19+I20+I21+I22+I23+I24+I25+I26)</f>
        <v>240</v>
      </c>
      <c r="J27" s="4" t="s">
        <v>0</v>
      </c>
      <c r="K27" s="4" t="s">
        <v>0</v>
      </c>
      <c r="L27" s="20">
        <f t="shared" ref="L27" ca="1" si="48">(L15+L16+L17+L18+L19+L20+L21+L22+L23+L24+L25+L26)</f>
        <v>580279.36648051674</v>
      </c>
      <c r="M27" s="20">
        <f t="shared" ref="M27" ca="1" si="49">(M15+M16+M17+M18+M19+M20+M21+M22+M23+M24+M25+M26)</f>
        <v>54648</v>
      </c>
      <c r="N27" s="21">
        <f t="shared" ref="N27" ca="1" si="50">(N15+N16+N17+N18+N19+N20+N21+N22+N23+N24+N25+N26)</f>
        <v>634927.36648051674</v>
      </c>
      <c r="O27" s="34"/>
      <c r="P27" s="3"/>
      <c r="Q27" s="8"/>
      <c r="R27" s="58" t="s">
        <v>27</v>
      </c>
      <c r="S27" s="59" t="s">
        <v>91</v>
      </c>
      <c r="T27" s="55"/>
      <c r="U27" s="55"/>
      <c r="V27" s="35" t="s">
        <v>0</v>
      </c>
      <c r="W27" s="35" t="s">
        <v>0</v>
      </c>
      <c r="X27" s="36">
        <f>($X$22+$X$23+$X$24+$X$25+$X$26)</f>
        <v>46655.431299999997</v>
      </c>
      <c r="Y27" s="36">
        <f>($Y$22+$Y$23+$Y$24+$Y$25+$Y$26)</f>
        <v>46655.431299999997</v>
      </c>
      <c r="Z27" s="52" t="s">
        <v>0</v>
      </c>
      <c r="AA27" s="36">
        <f t="shared" ref="AA27:AB27" si="51">(AA15+AA16+AA17+AA18+AA19+AA20+AA21+AA22+AA23+AA24+AA25+AA26)</f>
        <v>0</v>
      </c>
      <c r="AB27" s="36">
        <f t="shared" ca="1" si="51"/>
        <v>0</v>
      </c>
      <c r="AC27" s="54">
        <f>(AC15+AC16+AC17+AC18+AC19+AC20+AC21+AC22+AC23+AC24+AC25+AC26)</f>
        <v>0</v>
      </c>
      <c r="AD27" s="36">
        <f t="shared" ref="AD27:AE27" si="52">(AD15+AD16+AD17+AD18+AD19+AD20+AD21+AD22+AD23+AD24+AD25+AD26)</f>
        <v>0</v>
      </c>
      <c r="AE27" s="36">
        <f t="shared" ca="1" si="52"/>
        <v>0</v>
      </c>
      <c r="AF27" s="54">
        <f>(AF15+AF16+AF17+AF18+AF19+AF20+AF21+AF22+AF23+AF24+AF25+AF26)</f>
        <v>0</v>
      </c>
      <c r="AG27" s="36">
        <f t="shared" ref="AG27:AH27" si="53">(AG15+AG16+AG17+AG18+AG19+AG20+AG21+AG22+AG23+AG24+AG25+AG26)</f>
        <v>0</v>
      </c>
      <c r="AH27" s="36">
        <f t="shared" ca="1" si="53"/>
        <v>0</v>
      </c>
      <c r="AI27" s="54">
        <f>(AI15+AI16+AI17+AI18+AI19+AI20+AI21+AI22+AI23+AI24+AI25+AI26)</f>
        <v>0</v>
      </c>
      <c r="AJ27" s="36">
        <f t="shared" ref="AJ27:AK27" si="54">(AJ15+AJ16+AJ17+AJ18+AJ19+AJ20+AJ21+AJ22+AJ23+AJ24+AJ25+AJ26)</f>
        <v>0</v>
      </c>
      <c r="AK27" s="36">
        <f t="shared" ca="1" si="54"/>
        <v>0</v>
      </c>
      <c r="AL27" s="36">
        <f t="shared" ref="AL27:AP27" si="55">(AL15+AL16+AL17+AL18+AL19+AL20+AL21+AL22+AL23+AL24+AL25+AL26)</f>
        <v>-2755.1999999999994</v>
      </c>
      <c r="AM27" s="36">
        <f t="shared" si="55"/>
        <v>-196.80000000000004</v>
      </c>
      <c r="AN27" s="36">
        <f t="shared" ref="AN27" si="56">(AN15+AN16+AN17+AN18+AN19+AN20+AN21+AN22+AN23+AN24+AN25+AN26)</f>
        <v>54648</v>
      </c>
      <c r="AO27" s="36">
        <f t="shared" si="55"/>
        <v>54648</v>
      </c>
      <c r="AP27" s="36">
        <f t="shared" si="55"/>
        <v>0</v>
      </c>
      <c r="AQ27" s="36">
        <f t="shared" ref="AQ27:AS27" ca="1" si="57">(AQ15+AQ16+AQ17+AQ18+AQ19+AQ20+AQ21+AQ22+AQ23+AQ24+AQ25+AQ26)</f>
        <v>0</v>
      </c>
      <c r="AR27" s="36">
        <f t="shared" si="57"/>
        <v>0</v>
      </c>
      <c r="AS27" s="36">
        <f t="shared" ca="1" si="57"/>
        <v>0</v>
      </c>
      <c r="AT27" s="36">
        <f t="shared" ref="AT27" si="58">(AT15+AT16+AT17+AT18+AT19+AT20+AT21+AT22+AT23+AT24+AT25+AT26)</f>
        <v>0</v>
      </c>
      <c r="AU27" s="36">
        <f t="shared" ref="AU27" si="59">(AU15+AU16+AU17+AU18+AU19+AU20+AU21+AU22+AU23+AU24+AU25+AU26)</f>
        <v>312066</v>
      </c>
      <c r="AV27" s="36">
        <f t="shared" ref="AV27" si="60">(AV15+AV16+AV17+AV18+AV19+AV20+AV21+AV22+AV23+AV24+AV25+AV26)</f>
        <v>312066</v>
      </c>
      <c r="AW27" s="36">
        <f t="shared" ref="AW27:AY27" si="61">(AW15+AW16+AW17+AW18+AW19+AW20+AW21+AW22+AW23+AW24+AW25+AW26)</f>
        <v>0</v>
      </c>
      <c r="AX27" s="36">
        <f>(AX15+AX16+AX17+AX18+AX19+AX20+AX21+AX22+AX23+AX24+AX25+AX26)</f>
        <v>0</v>
      </c>
      <c r="AY27" s="36">
        <f t="shared" si="61"/>
        <v>2368.5809400000007</v>
      </c>
      <c r="AZ27" s="36">
        <f t="shared" ref="AZ27" si="62">(AZ15+AZ16+AZ17+AZ18+AZ19+AZ20+AZ21+AZ22+AZ23+AZ24+AZ25+AZ26)</f>
        <v>312066</v>
      </c>
      <c r="BA27" s="36">
        <f t="shared" ref="BA27" si="63">(BA15+BA16+BA17+BA18+BA19+BA20+BA21+BA22+BA23+BA24+BA25+BA26)</f>
        <v>0</v>
      </c>
      <c r="BB27" s="36">
        <f t="shared" ref="BB27" si="64">(BB15+BB16+BB17+BB18+BB19+BB20+BB21+BB22+BB23+BB24+BB25+BB26)</f>
        <v>312066</v>
      </c>
      <c r="BC27" s="36">
        <f ca="1">(AZ6)</f>
        <v>104912.43167513059</v>
      </c>
      <c r="BD27" s="36">
        <f t="shared" ca="1" si="42"/>
        <v>21507.04849340177</v>
      </c>
      <c r="BE27" s="36">
        <f t="shared" ca="1" si="43"/>
        <v>1049.124316751306</v>
      </c>
      <c r="BF27" s="36">
        <f t="shared" ca="1" si="44"/>
        <v>-5245.6215837565296</v>
      </c>
      <c r="BG27" s="36">
        <f t="shared" ca="1" si="45"/>
        <v>122222.98290152714</v>
      </c>
      <c r="BI27" s="45"/>
      <c r="BJ27" s="46"/>
      <c r="BK27" s="47"/>
      <c r="BL27" s="49"/>
      <c r="BM27" s="47"/>
      <c r="BN27" s="35">
        <v>25</v>
      </c>
      <c r="BO27" s="50">
        <v>12.5</v>
      </c>
      <c r="BP27" s="51">
        <v>0.27</v>
      </c>
    </row>
    <row r="28" spans="1:68" ht="39.950000000000003" customHeight="1" x14ac:dyDescent="0.25">
      <c r="A28" s="10">
        <f ca="1">(AY58)</f>
        <v>0.22326742814939973</v>
      </c>
      <c r="B28" s="18" t="s">
        <v>75</v>
      </c>
      <c r="C28" s="7">
        <f t="shared" ref="C28:D28" si="65">(C27/12)</f>
        <v>44333.333333333336</v>
      </c>
      <c r="D28" s="7">
        <f t="shared" ca="1" si="65"/>
        <v>28854.497818262596</v>
      </c>
      <c r="E28" s="7">
        <f>(E27/12)</f>
        <v>1477.7777777777781</v>
      </c>
      <c r="F28" s="7">
        <f ca="1">(F27/12)</f>
        <v>961.81659394208657</v>
      </c>
      <c r="G28" s="7">
        <f t="shared" ref="G28:H28" si="66">(G27/12)</f>
        <v>5461.9083333333328</v>
      </c>
      <c r="H28" s="7">
        <f t="shared" ca="1" si="66"/>
        <v>3547.9170272771494</v>
      </c>
      <c r="I28" s="9" t="s">
        <v>0</v>
      </c>
      <c r="J28" s="9" t="s">
        <v>0</v>
      </c>
      <c r="K28" s="9" t="s">
        <v>0</v>
      </c>
      <c r="L28" s="20">
        <f ca="1">(L27/12)</f>
        <v>48356.613873376395</v>
      </c>
      <c r="M28" s="20">
        <f ca="1">(M27/12)</f>
        <v>4554</v>
      </c>
      <c r="N28" s="21">
        <f ca="1">(N27/12)</f>
        <v>52910.613873376395</v>
      </c>
      <c r="O28" s="34"/>
      <c r="P28" s="3"/>
      <c r="Q28" s="22"/>
      <c r="R28" s="58" t="s">
        <v>45</v>
      </c>
      <c r="S28" s="60" t="s">
        <v>50</v>
      </c>
      <c r="T28" s="55"/>
      <c r="U28" s="55"/>
      <c r="Z28" s="52" t="s">
        <v>0</v>
      </c>
      <c r="AA28" s="36">
        <f t="shared" ref="AA28:AB28" si="67">(AA27/12)</f>
        <v>0</v>
      </c>
      <c r="AB28" s="36">
        <f t="shared" ca="1" si="67"/>
        <v>0</v>
      </c>
      <c r="AC28" s="61" t="s">
        <v>0</v>
      </c>
      <c r="AD28" s="36">
        <f t="shared" ref="AD28:AE28" si="68">(AD27/12)</f>
        <v>0</v>
      </c>
      <c r="AE28" s="36">
        <f t="shared" ca="1" si="68"/>
        <v>0</v>
      </c>
      <c r="AF28" s="61" t="s">
        <v>0</v>
      </c>
      <c r="AG28" s="36">
        <f t="shared" ref="AG28:AH28" si="69">(AG27/12)</f>
        <v>0</v>
      </c>
      <c r="AH28" s="36">
        <f t="shared" ca="1" si="69"/>
        <v>0</v>
      </c>
      <c r="AI28" s="52" t="s">
        <v>0</v>
      </c>
      <c r="AJ28" s="36">
        <f t="shared" ref="AJ28:AK28" si="70">(AJ27/12)</f>
        <v>0</v>
      </c>
      <c r="AK28" s="36">
        <f t="shared" ca="1" si="70"/>
        <v>0</v>
      </c>
      <c r="AL28" s="36">
        <f t="shared" ref="AL28:AP28" si="71">(AL27/12)</f>
        <v>-229.59999999999994</v>
      </c>
      <c r="AM28" s="36">
        <f t="shared" si="71"/>
        <v>-16.400000000000002</v>
      </c>
      <c r="AN28" s="36">
        <f t="shared" ref="AN28" si="72">(AN27/12)</f>
        <v>4554</v>
      </c>
      <c r="AO28" s="36">
        <f t="shared" si="71"/>
        <v>4554</v>
      </c>
      <c r="AP28" s="36">
        <f t="shared" si="71"/>
        <v>0</v>
      </c>
      <c r="AQ28" s="36">
        <f t="shared" ref="AQ28:AS28" ca="1" si="73">(AQ27/12)</f>
        <v>0</v>
      </c>
      <c r="AR28" s="36">
        <f t="shared" si="73"/>
        <v>0</v>
      </c>
      <c r="AS28" s="36">
        <f t="shared" ca="1" si="73"/>
        <v>0</v>
      </c>
      <c r="AT28" s="36">
        <f t="shared" ref="AT28" si="74">(AT27/12)</f>
        <v>0</v>
      </c>
      <c r="AU28" s="36">
        <f t="shared" ref="AU28" si="75">(AU27/12)</f>
        <v>26005.5</v>
      </c>
      <c r="AV28" s="36">
        <f t="shared" ref="AV28" si="76">(AV27/12)</f>
        <v>26005.5</v>
      </c>
      <c r="AW28" s="36">
        <f t="shared" ref="AW28:AY28" si="77">(AW27/12)</f>
        <v>0</v>
      </c>
      <c r="AX28" s="36">
        <f>(AX27/12)</f>
        <v>0</v>
      </c>
      <c r="AY28" s="36">
        <f t="shared" si="77"/>
        <v>197.38174500000005</v>
      </c>
      <c r="AZ28" s="36">
        <f t="shared" ref="AZ28" si="78">(AZ27/12)</f>
        <v>26005.5</v>
      </c>
      <c r="BA28" s="36">
        <f t="shared" ref="BA28" si="79">(BA27/12)</f>
        <v>0</v>
      </c>
      <c r="BB28" s="36">
        <f t="shared" ref="BB28" si="80">(BB27/12)</f>
        <v>26005.5</v>
      </c>
      <c r="BC28" s="36">
        <f ca="1">(AZ7)</f>
        <v>59589.019138372685</v>
      </c>
      <c r="BD28" s="36">
        <f t="shared" ca="1" si="42"/>
        <v>12215.7489233664</v>
      </c>
      <c r="BE28" s="36">
        <f t="shared" ca="1" si="43"/>
        <v>595.89019138372691</v>
      </c>
      <c r="BF28" s="36">
        <f t="shared" ca="1" si="44"/>
        <v>-2979.4509569186343</v>
      </c>
      <c r="BG28" s="36">
        <f t="shared" ca="1" si="45"/>
        <v>69421.207296204186</v>
      </c>
      <c r="BI28" s="45"/>
      <c r="BJ28" s="46"/>
      <c r="BK28" s="47"/>
      <c r="BL28" s="47"/>
      <c r="BM28" s="47"/>
      <c r="BN28" s="35">
        <v>26</v>
      </c>
      <c r="BO28" s="50">
        <v>13</v>
      </c>
      <c r="BP28" s="51">
        <v>0.28000000000000003</v>
      </c>
    </row>
    <row r="29" spans="1:68" ht="39.950000000000003" hidden="1" customHeight="1" x14ac:dyDescent="0.25">
      <c r="R29" s="58" t="s">
        <v>40</v>
      </c>
      <c r="S29" s="59" t="s">
        <v>92</v>
      </c>
      <c r="V29" s="62">
        <v>1.012556</v>
      </c>
      <c r="W29" s="62">
        <v>1.012556</v>
      </c>
      <c r="X29" s="35" t="s">
        <v>0</v>
      </c>
      <c r="Y29" s="42" t="s">
        <v>0</v>
      </c>
      <c r="Z29" s="36">
        <f>(240*I15)</f>
        <v>4800</v>
      </c>
      <c r="AA29" s="36">
        <f ca="1">(AB29+AE29+AL15+AM15+AG29)</f>
        <v>4554</v>
      </c>
      <c r="AB29" s="36">
        <f>(Z29)</f>
        <v>4800</v>
      </c>
      <c r="AC29" s="36">
        <f>(AB29)</f>
        <v>4800</v>
      </c>
      <c r="AD29" s="36">
        <f>IF(AB29-AC29&lt;=0,0,AB29-AC29)</f>
        <v>0</v>
      </c>
      <c r="AE29" s="36">
        <f>(AD29*0.00759*-1)</f>
        <v>0</v>
      </c>
      <c r="AF29" s="36">
        <f>(AB29)</f>
        <v>4800</v>
      </c>
      <c r="AG29" s="36">
        <f ca="1">IF(AP15*AY45*-1&gt;=0,0,AP15*AY45*-1)</f>
        <v>0</v>
      </c>
      <c r="AH29" s="53">
        <v>30</v>
      </c>
      <c r="AI29" s="36">
        <f ca="1">(AJ29/BB29/30*AH29)</f>
        <v>2529.455922190672</v>
      </c>
      <c r="AJ29" s="36">
        <f>(1570/30*17+2120/30*13)</f>
        <v>1808.3333333333335</v>
      </c>
      <c r="AK29" s="53">
        <v>0</v>
      </c>
      <c r="AL29" s="36">
        <f>(E15*AK29)</f>
        <v>0</v>
      </c>
      <c r="AM29" s="36">
        <f ca="1">(AL29*BB29)</f>
        <v>0</v>
      </c>
      <c r="AN29" s="53">
        <v>30</v>
      </c>
      <c r="AX29" s="36">
        <f>(0)</f>
        <v>0</v>
      </c>
      <c r="AY29" s="63">
        <f>(0%)</f>
        <v>0</v>
      </c>
      <c r="BA29" s="44">
        <f>(100+(100*0.00759*-1)+(100*0.14*-1)+(100*0.01*-1))/100</f>
        <v>0.84240999999999999</v>
      </c>
      <c r="BB29" s="44">
        <f ca="1">(100+(100*0.00759*-1)+(100*0.14*-1)+(100*0.01*-1)+(100+100*0.14*-1+100*0.01*-1)*AY45*-1)/100</f>
        <v>0.71491000000000005</v>
      </c>
      <c r="BC29" s="36">
        <f ca="1">(AZ8)</f>
        <v>59589.019138372685</v>
      </c>
      <c r="BD29" s="36">
        <f t="shared" ca="1" si="42"/>
        <v>12215.7489233664</v>
      </c>
      <c r="BE29" s="36">
        <f t="shared" ca="1" si="43"/>
        <v>595.89019138372691</v>
      </c>
      <c r="BF29" s="36">
        <f t="shared" ca="1" si="44"/>
        <v>-2979.4509569186343</v>
      </c>
      <c r="BG29" s="36">
        <f t="shared" ca="1" si="45"/>
        <v>69421.207296204186</v>
      </c>
      <c r="BN29" s="35">
        <v>27</v>
      </c>
      <c r="BO29" s="50">
        <v>13.5</v>
      </c>
      <c r="BP29" s="51">
        <v>0.28999999999999998</v>
      </c>
    </row>
    <row r="30" spans="1:68" ht="39.950000000000003" hidden="1" customHeight="1" x14ac:dyDescent="0.25">
      <c r="R30" s="58" t="s">
        <v>46</v>
      </c>
      <c r="S30" s="60" t="s">
        <v>51</v>
      </c>
      <c r="V30" s="62">
        <v>15.848414999999999</v>
      </c>
      <c r="W30" s="62">
        <v>15.848414999999999</v>
      </c>
      <c r="X30" s="35" t="s">
        <v>0</v>
      </c>
      <c r="Y30" s="42" t="s">
        <v>0</v>
      </c>
      <c r="Z30" s="36">
        <f>(240*I16)</f>
        <v>4800</v>
      </c>
      <c r="AA30" s="36">
        <f ca="1">(AB30+AE30+AL16+AM16+AG30)</f>
        <v>4554</v>
      </c>
      <c r="AB30" s="36">
        <f t="shared" ref="AB30:AB40" si="81">(Z30)</f>
        <v>4800</v>
      </c>
      <c r="AC30" s="36">
        <f t="shared" ref="AC30:AC40" si="82">(AB30)</f>
        <v>4800</v>
      </c>
      <c r="AD30" s="36">
        <f t="shared" ref="AD30:AD40" si="83">IF(AB30-AC30&lt;=0,0,AB30-AC30)</f>
        <v>0</v>
      </c>
      <c r="AE30" s="36">
        <f t="shared" ref="AE30:AE40" si="84">(AD30*0.00759*-1)</f>
        <v>0</v>
      </c>
      <c r="AF30" s="36">
        <f t="shared" ref="AF30:AF40" si="85">(AB30)</f>
        <v>4800</v>
      </c>
      <c r="AG30" s="36">
        <f ca="1">IF(AP16*AY46*-1&gt;=0,0,AP16*AY46*-1)</f>
        <v>0</v>
      </c>
      <c r="AH30" s="53">
        <v>30</v>
      </c>
      <c r="AI30" s="36">
        <f ca="1">(AJ30/BB30/30*AH30)</f>
        <v>2965.4082332041794</v>
      </c>
      <c r="AJ30" s="36">
        <f>(2120/30*AH30)</f>
        <v>2120</v>
      </c>
      <c r="AK30" s="53">
        <v>0</v>
      </c>
      <c r="AL30" s="36">
        <f>(E16*AK30)</f>
        <v>0</v>
      </c>
      <c r="AM30" s="36">
        <f ca="1">(AL30*BB30)</f>
        <v>0</v>
      </c>
      <c r="AN30" s="53">
        <v>30</v>
      </c>
      <c r="AO30" s="36">
        <f>(BB15*0.14*-1)</f>
        <v>-3640.7700000000004</v>
      </c>
      <c r="AP30" s="36">
        <f>(BB15*0.01*-1)</f>
        <v>-260.05500000000001</v>
      </c>
      <c r="AQ30" s="64">
        <v>0.15</v>
      </c>
      <c r="AR30" s="36">
        <v>0</v>
      </c>
      <c r="AS30" s="36">
        <v>158000</v>
      </c>
      <c r="AT30" s="36">
        <v>0</v>
      </c>
      <c r="AU30" s="36">
        <f>(AU15+AO30+AP30)</f>
        <v>22104.674999999999</v>
      </c>
      <c r="AV30" s="36">
        <f>(0)</f>
        <v>0</v>
      </c>
      <c r="AW30" s="36">
        <f>(AU30-AV30)</f>
        <v>22104.674999999999</v>
      </c>
      <c r="AX30" s="36">
        <f>SUM(AW$30:$AW30)</f>
        <v>22104.674999999999</v>
      </c>
      <c r="AY30" s="63">
        <f>IF(AX30&lt;=$AS$30,$AQ$30,
IF(AX30&gt;$AS$32,
IF(AX30&gt;$AS$33,$AQ$34,$AQ$33),
IF(AX30&lt;$AS$31,$AQ$31,$AQ$32)))</f>
        <v>0.15</v>
      </c>
      <c r="AZ30" s="42">
        <f>IF(AY30-AY29=0,0,1)</f>
        <v>1</v>
      </c>
      <c r="BA30" s="44">
        <f t="shared" ref="BA30:BA40" si="86">(100+(100*0.00759*-1)+(100*0.14*-1)+(100*0.01*-1))/100</f>
        <v>0.84240999999999999</v>
      </c>
      <c r="BB30" s="44">
        <f ca="1">(100+(100*0.00759*-1)+(100*0.14*-1)+(100*0.01*-1)+(100+100*0.14*-1+100*0.01*-1)*AY46*-1)/100</f>
        <v>0.71491000000000005</v>
      </c>
      <c r="BC30" s="36">
        <f ca="1">(AZ9)</f>
        <v>105189.01913837269</v>
      </c>
      <c r="BD30" s="36">
        <f t="shared" ca="1" si="42"/>
        <v>21563.748923366402</v>
      </c>
      <c r="BE30" s="36">
        <f t="shared" ca="1" si="43"/>
        <v>1051.8901913837269</v>
      </c>
      <c r="BF30" s="36">
        <f t="shared" ca="1" si="44"/>
        <v>-5259.4509569186348</v>
      </c>
      <c r="BG30" s="36">
        <f t="shared" ca="1" si="45"/>
        <v>122545.2072962042</v>
      </c>
      <c r="BN30" s="35">
        <v>28</v>
      </c>
      <c r="BO30" s="50">
        <v>14</v>
      </c>
      <c r="BP30" s="51">
        <v>0.3</v>
      </c>
    </row>
    <row r="31" spans="1:68" ht="39.950000000000003" hidden="1" customHeight="1" x14ac:dyDescent="0.25">
      <c r="R31" s="58" t="s">
        <v>25</v>
      </c>
      <c r="S31" s="59" t="s">
        <v>93</v>
      </c>
      <c r="V31" s="62">
        <v>0.32111499999999998</v>
      </c>
      <c r="W31" s="62">
        <v>0.32111499999999998</v>
      </c>
      <c r="X31" s="35" t="s">
        <v>0</v>
      </c>
      <c r="Y31" s="42" t="s">
        <v>0</v>
      </c>
      <c r="Z31" s="36">
        <f>(240*I17)</f>
        <v>4800</v>
      </c>
      <c r="AA31" s="36">
        <f ca="1">(AB31+AE31+AL17+AM17+AG31)</f>
        <v>4554</v>
      </c>
      <c r="AB31" s="36">
        <f t="shared" si="81"/>
        <v>4800</v>
      </c>
      <c r="AC31" s="36">
        <f t="shared" si="82"/>
        <v>4800</v>
      </c>
      <c r="AD31" s="36">
        <f t="shared" si="83"/>
        <v>0</v>
      </c>
      <c r="AE31" s="36">
        <f t="shared" si="84"/>
        <v>0</v>
      </c>
      <c r="AF31" s="36">
        <f t="shared" si="85"/>
        <v>4800</v>
      </c>
      <c r="AG31" s="36">
        <f ca="1">IF(AP17*AY47*-1&gt;=0,0,AP17*AY47*-1)</f>
        <v>0</v>
      </c>
      <c r="AH31" s="53">
        <v>30</v>
      </c>
      <c r="AI31" s="36">
        <f ca="1">(AJ31/BB31/30*AH31)</f>
        <v>2972.0517694988471</v>
      </c>
      <c r="AJ31" s="36">
        <f t="shared" ref="AJ31:AJ40" si="87">(2120/30*AH31)</f>
        <v>2120</v>
      </c>
      <c r="AK31" s="53">
        <v>30</v>
      </c>
      <c r="AL31" s="36">
        <f>(E17*AK31)</f>
        <v>45600</v>
      </c>
      <c r="AM31" s="36">
        <f ca="1">(AL31*BB31)</f>
        <v>32527.024257151821</v>
      </c>
      <c r="AN31" s="53">
        <v>30</v>
      </c>
      <c r="AO31" s="36">
        <f>(BB16*0.14*-1)</f>
        <v>-3640.7700000000004</v>
      </c>
      <c r="AP31" s="36">
        <f>(BB16*0.01*-1)</f>
        <v>-260.05500000000001</v>
      </c>
      <c r="AQ31" s="64">
        <v>0.2</v>
      </c>
      <c r="AR31" s="36">
        <f>$AS$30</f>
        <v>158000</v>
      </c>
      <c r="AS31" s="36">
        <v>330000</v>
      </c>
      <c r="AT31" s="36">
        <f>(AS30-AR30)*AQ30+AT30</f>
        <v>23700</v>
      </c>
      <c r="AU31" s="36">
        <f>(AU16+AO31+AP31)</f>
        <v>22104.674999999999</v>
      </c>
      <c r="AV31" s="36">
        <f>(0)</f>
        <v>0</v>
      </c>
      <c r="AW31" s="36">
        <f t="shared" ref="AW31:AW41" si="88">(AU31-AV31)</f>
        <v>22104.674999999999</v>
      </c>
      <c r="AX31" s="36">
        <f>SUM(AW$30:$AW31)</f>
        <v>44209.35</v>
      </c>
      <c r="AY31" s="63">
        <f>IF(AX31&lt;=$AS$30,$AQ$30,
IF(AX31&gt;$AS$32,
IF(AX31&gt;$AS$33,$AQ$34,$AQ$33),
IF(AX31&lt;$AS$31,$AQ$31,$AQ$32)))</f>
        <v>0.15</v>
      </c>
      <c r="AZ31" s="42">
        <f t="shared" ref="AZ31:AZ41" si="89">IF(AY31-AY30=0,0,1)</f>
        <v>0</v>
      </c>
      <c r="BA31" s="44">
        <f t="shared" si="86"/>
        <v>0.84240999999999999</v>
      </c>
      <c r="BB31" s="44">
        <f ca="1">(100+(100*0.00759*-1)+(100*0.14*-1)+(100*0.01*-1)+(100+100*0.14*-1+100*0.01*-1)*AY47*-1)/100</f>
        <v>0.71331193546385574</v>
      </c>
      <c r="BC31" s="36">
        <f ca="1">(AZ10)</f>
        <v>59589.019138372685</v>
      </c>
      <c r="BD31" s="36">
        <f t="shared" ca="1" si="42"/>
        <v>12215.7489233664</v>
      </c>
      <c r="BE31" s="36">
        <f t="shared" ca="1" si="43"/>
        <v>595.89019138372691</v>
      </c>
      <c r="BF31" s="36">
        <f t="shared" ca="1" si="44"/>
        <v>-2979.4509569186343</v>
      </c>
      <c r="BG31" s="36">
        <f t="shared" ca="1" si="45"/>
        <v>69421.207296204186</v>
      </c>
      <c r="BN31" s="35">
        <v>29</v>
      </c>
      <c r="BO31" s="50">
        <v>14.5</v>
      </c>
      <c r="BP31" s="51">
        <v>0.31</v>
      </c>
    </row>
    <row r="32" spans="1:68" ht="39.950000000000003" hidden="1" customHeight="1" x14ac:dyDescent="0.25">
      <c r="R32" s="58" t="s">
        <v>39</v>
      </c>
      <c r="S32" s="59" t="s">
        <v>94</v>
      </c>
      <c r="Z32" s="36">
        <f>(240*I18)</f>
        <v>4800</v>
      </c>
      <c r="AA32" s="36">
        <f ca="1">(AB32+AE32+AL18+AM18+AG32)</f>
        <v>4554</v>
      </c>
      <c r="AB32" s="36">
        <f t="shared" si="81"/>
        <v>4800</v>
      </c>
      <c r="AC32" s="36">
        <f t="shared" si="82"/>
        <v>4800</v>
      </c>
      <c r="AD32" s="36">
        <f t="shared" si="83"/>
        <v>0</v>
      </c>
      <c r="AE32" s="36">
        <f t="shared" si="84"/>
        <v>0</v>
      </c>
      <c r="AF32" s="36">
        <f t="shared" si="85"/>
        <v>4800</v>
      </c>
      <c r="AG32" s="36">
        <f ca="1">IF(AP18*AY48*-1&gt;=0,0,AP18*AY48*-1)</f>
        <v>0</v>
      </c>
      <c r="AH32" s="53">
        <v>30</v>
      </c>
      <c r="AI32" s="36">
        <f ca="1">(AJ32/BB32/30*AH32)</f>
        <v>3152.8382980621946</v>
      </c>
      <c r="AJ32" s="36">
        <f t="shared" si="87"/>
        <v>2120</v>
      </c>
      <c r="AK32" s="53">
        <v>0</v>
      </c>
      <c r="AL32" s="36">
        <f>(E18*AK32)</f>
        <v>0</v>
      </c>
      <c r="AM32" s="36">
        <f ca="1">(AL32*BB32)</f>
        <v>0</v>
      </c>
      <c r="AN32" s="53">
        <v>30</v>
      </c>
      <c r="AO32" s="36">
        <f>(BB17*0.14*-1)</f>
        <v>-3640.7700000000004</v>
      </c>
      <c r="AP32" s="36">
        <f>(BB17*0.01*-1)</f>
        <v>-260.05500000000001</v>
      </c>
      <c r="AQ32" s="64">
        <v>0.27</v>
      </c>
      <c r="AR32" s="36">
        <f>$AS$31</f>
        <v>330000</v>
      </c>
      <c r="AS32" s="36">
        <v>1200000</v>
      </c>
      <c r="AT32" s="36">
        <f>(AS31-AR31)*AQ31+AT31</f>
        <v>58100</v>
      </c>
      <c r="AU32" s="36">
        <f>(AU17+AO32+AP32)</f>
        <v>22104.674999999999</v>
      </c>
      <c r="AV32" s="36">
        <f>(0)</f>
        <v>0</v>
      </c>
      <c r="AW32" s="36">
        <f t="shared" si="88"/>
        <v>22104.674999999999</v>
      </c>
      <c r="AX32" s="36">
        <f>SUM(AW$30:$AW32)</f>
        <v>66314.024999999994</v>
      </c>
      <c r="AY32" s="63">
        <f>IF(AX32&lt;=$AS$30,$AQ$30,
IF(AX32&gt;$AS$32,
IF(AX32&gt;$AS$33,$AQ$34,$AQ$33),
IF(AX32&lt;$AS$31,$AQ$31,$AQ$32)))</f>
        <v>0.15</v>
      </c>
      <c r="AZ32" s="42">
        <f t="shared" si="89"/>
        <v>0</v>
      </c>
      <c r="BA32" s="44">
        <f t="shared" si="86"/>
        <v>0.84240999999999999</v>
      </c>
      <c r="BB32" s="44">
        <f ca="1">(100+(100*0.00759*-1)+(100*0.14*-1)+(100*0.01*-1)+(100+100*0.14*-1+100*0.01*-1)*AY48*-1)/100</f>
        <v>0.67240999999999995</v>
      </c>
      <c r="BC32" s="36">
        <f ca="1">(AZ11)</f>
        <v>59589.019138372685</v>
      </c>
      <c r="BD32" s="36">
        <f t="shared" ca="1" si="42"/>
        <v>12215.7489233664</v>
      </c>
      <c r="BE32" s="36">
        <f t="shared" ca="1" si="43"/>
        <v>595.89019138372691</v>
      </c>
      <c r="BF32" s="36">
        <f t="shared" ca="1" si="44"/>
        <v>-2979.4509569186343</v>
      </c>
      <c r="BG32" s="36">
        <f t="shared" ca="1" si="45"/>
        <v>69421.207296204186</v>
      </c>
      <c r="BN32" s="35">
        <v>30</v>
      </c>
      <c r="BO32" s="50">
        <v>15</v>
      </c>
      <c r="BP32" s="51">
        <v>0.32</v>
      </c>
    </row>
    <row r="33" spans="18:68" ht="39.950000000000003" hidden="1" customHeight="1" x14ac:dyDescent="0.25">
      <c r="R33" s="65" t="s">
        <v>41</v>
      </c>
      <c r="S33" s="60" t="s">
        <v>55</v>
      </c>
      <c r="V33" s="52">
        <f>($V$34*2)</f>
        <v>19000</v>
      </c>
      <c r="W33" s="35" t="s">
        <v>0</v>
      </c>
      <c r="X33" s="36">
        <f>($V$29*$V$33)</f>
        <v>19238.563999999998</v>
      </c>
      <c r="Y33" s="36">
        <f>($W$29*$V$33)</f>
        <v>19238.563999999998</v>
      </c>
      <c r="Z33" s="36">
        <f>(240*I19)</f>
        <v>4800</v>
      </c>
      <c r="AA33" s="36">
        <f ca="1">(AB33+AE33+AL19+AM19+AG33)</f>
        <v>4554</v>
      </c>
      <c r="AB33" s="36">
        <f t="shared" si="81"/>
        <v>4800</v>
      </c>
      <c r="AC33" s="36">
        <f t="shared" si="82"/>
        <v>4800</v>
      </c>
      <c r="AD33" s="36">
        <f t="shared" si="83"/>
        <v>0</v>
      </c>
      <c r="AE33" s="36">
        <f t="shared" si="84"/>
        <v>0</v>
      </c>
      <c r="AF33" s="36">
        <f t="shared" si="85"/>
        <v>4800</v>
      </c>
      <c r="AG33" s="36">
        <f ca="1">IF(AP19*AY49*-1&gt;=0,0,AP19*AY49*-1)</f>
        <v>0</v>
      </c>
      <c r="AH33" s="53">
        <v>30</v>
      </c>
      <c r="AI33" s="36">
        <f ca="1">(AJ33/BB33/30*AH33)</f>
        <v>3152.8382980621946</v>
      </c>
      <c r="AJ33" s="36">
        <f t="shared" si="87"/>
        <v>2120</v>
      </c>
      <c r="AK33" s="53">
        <v>0</v>
      </c>
      <c r="AL33" s="36">
        <f>(E19*AK33)</f>
        <v>0</v>
      </c>
      <c r="AM33" s="36">
        <f ca="1">(AL33*BB33)</f>
        <v>0</v>
      </c>
      <c r="AN33" s="53">
        <v>30</v>
      </c>
      <c r="AO33" s="36">
        <f>(BB18*0.14*-1)</f>
        <v>-3640.7700000000004</v>
      </c>
      <c r="AP33" s="36">
        <f>(BB18*0.01*-1)</f>
        <v>-260.05500000000001</v>
      </c>
      <c r="AQ33" s="64">
        <v>0.35</v>
      </c>
      <c r="AR33" s="36">
        <f>$AS$32</f>
        <v>1200000</v>
      </c>
      <c r="AS33" s="36">
        <v>4300000</v>
      </c>
      <c r="AT33" s="36">
        <f>(AS32-AR32)*AQ32+AT32</f>
        <v>293000</v>
      </c>
      <c r="AU33" s="36">
        <f>(AU18+AO33+AP33)</f>
        <v>22104.674999999999</v>
      </c>
      <c r="AV33" s="36">
        <f>(0)</f>
        <v>0</v>
      </c>
      <c r="AW33" s="36">
        <f t="shared" si="88"/>
        <v>22104.674999999999</v>
      </c>
      <c r="AX33" s="36">
        <f>SUM(AW$30:$AW33)</f>
        <v>88418.7</v>
      </c>
      <c r="AY33" s="63">
        <f>IF(AX33&lt;=$AS$30,$AQ$30,
IF(AX33&gt;$AS$32,
IF(AX33&gt;$AS$33,$AQ$34,$AQ$33),
IF(AX33&lt;$AS$31,$AQ$31,$AQ$32)))</f>
        <v>0.15</v>
      </c>
      <c r="AZ33" s="42">
        <f t="shared" si="89"/>
        <v>0</v>
      </c>
      <c r="BA33" s="44">
        <f t="shared" si="86"/>
        <v>0.84240999999999999</v>
      </c>
      <c r="BB33" s="44">
        <f ca="1">(100+(100*0.00759*-1)+(100*0.14*-1)+(100*0.01*-1)+(100+100*0.14*-1+100*0.01*-1)*AY49*-1)/100</f>
        <v>0.67240999999999995</v>
      </c>
      <c r="BC33" s="36">
        <f ca="1">(AZ12)</f>
        <v>105189.01913837269</v>
      </c>
      <c r="BD33" s="36">
        <f t="shared" ca="1" si="42"/>
        <v>21563.748923366402</v>
      </c>
      <c r="BE33" s="36">
        <f t="shared" ca="1" si="43"/>
        <v>1051.8901913837269</v>
      </c>
      <c r="BF33" s="36">
        <f t="shared" ca="1" si="44"/>
        <v>-5259.4509569186348</v>
      </c>
      <c r="BG33" s="36">
        <f t="shared" ca="1" si="45"/>
        <v>122545.2072962042</v>
      </c>
      <c r="BN33" s="35">
        <v>31</v>
      </c>
      <c r="BO33" s="50">
        <v>15.5</v>
      </c>
      <c r="BP33" s="51">
        <v>0.33</v>
      </c>
    </row>
    <row r="34" spans="18:68" ht="39.950000000000003" hidden="1" customHeight="1" x14ac:dyDescent="0.25">
      <c r="R34" s="58" t="s">
        <v>47</v>
      </c>
      <c r="S34" s="59" t="s">
        <v>54</v>
      </c>
      <c r="V34" s="52">
        <f>(9500)</f>
        <v>9500</v>
      </c>
      <c r="W34" s="35" t="s">
        <v>0</v>
      </c>
      <c r="X34" s="36">
        <f>($V$29*$V$34)</f>
        <v>9619.2819999999992</v>
      </c>
      <c r="Y34" s="36">
        <f>($W$29*$V$34)</f>
        <v>9619.2819999999992</v>
      </c>
      <c r="Z34" s="36">
        <f>(240*I20)</f>
        <v>4800</v>
      </c>
      <c r="AA34" s="36">
        <f ca="1">(AB34+AE34+AL20+AM20+AG34)</f>
        <v>4554</v>
      </c>
      <c r="AB34" s="36">
        <f t="shared" si="81"/>
        <v>4800</v>
      </c>
      <c r="AC34" s="36">
        <f t="shared" si="82"/>
        <v>4800</v>
      </c>
      <c r="AD34" s="36">
        <f t="shared" si="83"/>
        <v>0</v>
      </c>
      <c r="AE34" s="36">
        <f t="shared" si="84"/>
        <v>0</v>
      </c>
      <c r="AF34" s="36">
        <f t="shared" si="85"/>
        <v>4800</v>
      </c>
      <c r="AG34" s="36">
        <f ca="1">IF(AP20*AY50*-1&gt;=0,0,AP20*AY50*-1)</f>
        <v>0</v>
      </c>
      <c r="AH34" s="53">
        <v>30</v>
      </c>
      <c r="AI34" s="36">
        <f ca="1">(AJ34/BB34/30*AH34)</f>
        <v>3182.3216751305918</v>
      </c>
      <c r="AJ34" s="36">
        <f t="shared" si="87"/>
        <v>2120</v>
      </c>
      <c r="AK34" s="53">
        <v>30</v>
      </c>
      <c r="AL34" s="36">
        <f>(E20*AK34)</f>
        <v>45600</v>
      </c>
      <c r="AM34" s="36">
        <f ca="1">(AL34*BB34)</f>
        <v>30377.821561999357</v>
      </c>
      <c r="AN34" s="53">
        <v>30</v>
      </c>
      <c r="AO34" s="36">
        <f>(BB19*0.14*-1)</f>
        <v>-3640.7700000000004</v>
      </c>
      <c r="AP34" s="36">
        <f>(BB19*0.01*-1)</f>
        <v>-260.05500000000001</v>
      </c>
      <c r="AQ34" s="64">
        <v>0.4</v>
      </c>
      <c r="AR34" s="66">
        <f>$AS$33</f>
        <v>4300000</v>
      </c>
      <c r="AS34" s="36">
        <v>999999999</v>
      </c>
      <c r="AT34" s="36">
        <f>(AS33-AR33)*AQ33+AT33</f>
        <v>1378000</v>
      </c>
      <c r="AU34" s="36">
        <f>(AU19+AO34+AP34)</f>
        <v>22104.674999999999</v>
      </c>
      <c r="AV34" s="36">
        <f>(0)</f>
        <v>0</v>
      </c>
      <c r="AW34" s="36">
        <f t="shared" si="88"/>
        <v>22104.674999999999</v>
      </c>
      <c r="AX34" s="36">
        <f>SUM(AW$30:$AW34)</f>
        <v>110523.375</v>
      </c>
      <c r="AY34" s="63">
        <f>IF(AX34&lt;=$AS$30,$AQ$30,
IF(AX34&gt;$AS$32,
IF(AX34&gt;$AS$33,$AQ$34,$AQ$33),
IF(AX34&lt;$AS$31,$AQ$31,$AQ$32)))</f>
        <v>0.15</v>
      </c>
      <c r="AZ34" s="42">
        <f t="shared" si="89"/>
        <v>0</v>
      </c>
      <c r="BA34" s="44">
        <f t="shared" si="86"/>
        <v>0.84240999999999999</v>
      </c>
      <c r="BB34" s="44">
        <f ca="1">(100+(100*0.00759*-1)+(100*0.14*-1)+(100*0.01*-1)+(100+100*0.14*-1+100*0.01*-1)*AY50*-1)/100</f>
        <v>0.66618029741226659</v>
      </c>
      <c r="BC34" s="36">
        <f t="shared" ref="BC34" ca="1" si="90">(BC22+BC23+BC24+BC25+BC26+BC27+BC28+BC29+BC30+BC31+BC32+BC33)</f>
        <v>876251.26902638504</v>
      </c>
      <c r="BD34" s="36">
        <f t="shared" ref="BD34" ca="1" si="91">(BD22+BD23+BD24+BD25+BD26+BD27+BD28+BD29+BD30+BD31+BD32+BD33)</f>
        <v>179631.51015040887</v>
      </c>
      <c r="BE34" s="36">
        <f t="shared" ref="BE34" ca="1" si="92">(BE22+BE23+BE24+BE25+BE26+BE27+BE28+BE29+BE30+BE31+BE32+BE33)</f>
        <v>8762.5126902638494</v>
      </c>
      <c r="BF34" s="36">
        <f t="shared" ref="BF34" ca="1" si="93">(BF22+BF23+BF24+BF25+BF26+BF27+BF28+BF29+BF30+BF31+BF32+BF33)</f>
        <v>-43812.563451319242</v>
      </c>
      <c r="BG34" s="36">
        <f t="shared" ref="BG34" ca="1" si="94">(BG22+BG23+BG24+BG25+BG26+BG27+BG28+BG29+BG30+BG31+BG32+BG33)</f>
        <v>1020832.7284157383</v>
      </c>
      <c r="BN34" s="35">
        <v>32</v>
      </c>
      <c r="BO34" s="50">
        <v>16</v>
      </c>
      <c r="BP34" s="51">
        <v>0.34</v>
      </c>
    </row>
    <row r="35" spans="18:68" ht="39.950000000000003" hidden="1" customHeight="1" x14ac:dyDescent="0.25">
      <c r="R35" s="42" t="s">
        <v>0</v>
      </c>
      <c r="S35" s="60" t="s">
        <v>0</v>
      </c>
      <c r="Z35" s="36">
        <f>(240*I21)</f>
        <v>4800</v>
      </c>
      <c r="AA35" s="36">
        <f ca="1">(AB35+AE35+AL21+AM21+AG35)</f>
        <v>4554</v>
      </c>
      <c r="AB35" s="36">
        <f t="shared" si="81"/>
        <v>4800</v>
      </c>
      <c r="AC35" s="36">
        <f t="shared" si="82"/>
        <v>4800</v>
      </c>
      <c r="AD35" s="36">
        <f t="shared" si="83"/>
        <v>0</v>
      </c>
      <c r="AE35" s="36">
        <f t="shared" si="84"/>
        <v>0</v>
      </c>
      <c r="AF35" s="36">
        <f t="shared" si="85"/>
        <v>4800</v>
      </c>
      <c r="AG35" s="36">
        <f ca="1">IF(AP21*AY51*-1&gt;=0,0,AP21*AY51*-1)</f>
        <v>0</v>
      </c>
      <c r="AH35" s="53">
        <v>30</v>
      </c>
      <c r="AI35" s="36">
        <f ca="1">(AJ35/BB35/30*AH35)</f>
        <v>3458.9091383726814</v>
      </c>
      <c r="AJ35" s="36">
        <f t="shared" si="87"/>
        <v>2120</v>
      </c>
      <c r="AK35" s="53">
        <v>0</v>
      </c>
      <c r="AL35" s="36">
        <f>(E21*AK35)</f>
        <v>0</v>
      </c>
      <c r="AM35" s="36">
        <f ca="1">(AL35*BB35)</f>
        <v>0</v>
      </c>
      <c r="AN35" s="53">
        <v>30</v>
      </c>
      <c r="AO35" s="36">
        <f>(BB20*0.14*-1)</f>
        <v>-3640.7700000000004</v>
      </c>
      <c r="AP35" s="36">
        <f>(BB20*0.01*-1)</f>
        <v>-260.05500000000001</v>
      </c>
      <c r="AQ35" s="36" t="s">
        <v>0</v>
      </c>
      <c r="AR35" s="36" t="s">
        <v>0</v>
      </c>
      <c r="AS35" s="36" t="s">
        <v>0</v>
      </c>
      <c r="AT35" s="36" t="s">
        <v>0</v>
      </c>
      <c r="AU35" s="36">
        <f>(AU20+AO35+AP35)</f>
        <v>22104.674999999999</v>
      </c>
      <c r="AV35" s="36">
        <f>(0)</f>
        <v>0</v>
      </c>
      <c r="AW35" s="36">
        <f t="shared" si="88"/>
        <v>22104.674999999999</v>
      </c>
      <c r="AX35" s="36">
        <f>SUM(AW$30:$AW35)</f>
        <v>132628.04999999999</v>
      </c>
      <c r="AY35" s="63">
        <f>IF(AX35&lt;=$AS$30,$AQ$30,
IF(AX35&gt;$AS$32,
IF(AX35&gt;$AS$33,$AQ$34,$AQ$33),
IF(AX35&lt;$AS$31,$AQ$31,$AQ$32)))</f>
        <v>0.15</v>
      </c>
      <c r="AZ35" s="42">
        <f t="shared" si="89"/>
        <v>0</v>
      </c>
      <c r="BA35" s="44">
        <f t="shared" si="86"/>
        <v>0.84240999999999999</v>
      </c>
      <c r="BB35" s="44">
        <f ca="1">(100+(100*0.00759*-1)+(100*0.14*-1)+(100*0.01*-1)+(100+100*0.14*-1+100*0.01*-1)*AY51*-1)/100</f>
        <v>0.61290999999999995</v>
      </c>
      <c r="BC35" s="36">
        <f t="shared" ref="BC35" ca="1" si="95">(BC34/12)</f>
        <v>73020.939085532082</v>
      </c>
      <c r="BD35" s="36">
        <f t="shared" ref="BD35" ca="1" si="96">(BD34/12)</f>
        <v>14969.292512534072</v>
      </c>
      <c r="BE35" s="36">
        <f t="shared" ref="BE35" ca="1" si="97">(BE34/12)</f>
        <v>730.20939085532075</v>
      </c>
      <c r="BF35" s="36">
        <f t="shared" ref="BF35" ca="1" si="98">(BF34/12)</f>
        <v>-3651.0469542766036</v>
      </c>
      <c r="BG35" s="36">
        <f t="shared" ref="BG35" ca="1" si="99">(BG34/12)</f>
        <v>85069.394034644865</v>
      </c>
      <c r="BN35" s="35">
        <v>33</v>
      </c>
      <c r="BO35" s="50">
        <v>16.5</v>
      </c>
      <c r="BP35" s="51">
        <v>0.35</v>
      </c>
    </row>
    <row r="36" spans="18:68" ht="39.950000000000003" hidden="1" customHeight="1" x14ac:dyDescent="0.25">
      <c r="V36" s="36">
        <v>9900</v>
      </c>
      <c r="W36" s="35" t="s">
        <v>0</v>
      </c>
      <c r="X36" s="35" t="s">
        <v>0</v>
      </c>
      <c r="Y36" s="35" t="s">
        <v>0</v>
      </c>
      <c r="Z36" s="36">
        <f>(240*I22)</f>
        <v>4800</v>
      </c>
      <c r="AA36" s="36">
        <f ca="1">(AB36+AE36+AL22+AM22+AG36)</f>
        <v>4554</v>
      </c>
      <c r="AB36" s="36">
        <f t="shared" si="81"/>
        <v>4800</v>
      </c>
      <c r="AC36" s="36">
        <f t="shared" si="82"/>
        <v>4800</v>
      </c>
      <c r="AD36" s="36">
        <f t="shared" si="83"/>
        <v>0</v>
      </c>
      <c r="AE36" s="36">
        <f t="shared" si="84"/>
        <v>0</v>
      </c>
      <c r="AF36" s="36">
        <f t="shared" si="85"/>
        <v>4800</v>
      </c>
      <c r="AG36" s="36">
        <f ca="1">IF(AP22*AY52*-1&gt;=0,0,AP22*AY52*-1)</f>
        <v>0</v>
      </c>
      <c r="AH36" s="53">
        <v>30</v>
      </c>
      <c r="AI36" s="36">
        <f ca="1">(AJ36/BB36/30*AH36)</f>
        <v>3458.9091383726814</v>
      </c>
      <c r="AJ36" s="36">
        <f t="shared" si="87"/>
        <v>2120</v>
      </c>
      <c r="AK36" s="53">
        <v>0</v>
      </c>
      <c r="AL36" s="36">
        <f>(E22*AK36)</f>
        <v>0</v>
      </c>
      <c r="AM36" s="36">
        <f ca="1">(AL36*BB36)</f>
        <v>0</v>
      </c>
      <c r="AN36" s="53">
        <v>30</v>
      </c>
      <c r="AO36" s="36">
        <f>(BB21*0.14*-1)</f>
        <v>-3640.7700000000004</v>
      </c>
      <c r="AP36" s="36">
        <f>(BB21*0.01*-1)</f>
        <v>-260.05500000000001</v>
      </c>
      <c r="AQ36" s="36" t="s">
        <v>0</v>
      </c>
      <c r="AR36" s="36" t="s">
        <v>0</v>
      </c>
      <c r="AS36" s="36" t="s">
        <v>0</v>
      </c>
      <c r="AT36" s="36" t="s">
        <v>0</v>
      </c>
      <c r="AU36" s="36">
        <f>(AU21+AO36+AP36)</f>
        <v>22104.674999999999</v>
      </c>
      <c r="AV36" s="36">
        <f>(0)</f>
        <v>0</v>
      </c>
      <c r="AW36" s="36">
        <f t="shared" si="88"/>
        <v>22104.674999999999</v>
      </c>
      <c r="AX36" s="36">
        <f>SUM(AW$30:$AW36)</f>
        <v>154732.72499999998</v>
      </c>
      <c r="AY36" s="63">
        <f>IF(AX36&lt;=$AS$30,$AQ$30,
IF(AX36&gt;$AS$32,
IF(AX36&gt;$AS$33,$AQ$34,$AQ$33),
IF(AX36&lt;$AS$31,$AQ$31,$AQ$32)))</f>
        <v>0.15</v>
      </c>
      <c r="AZ36" s="42">
        <f t="shared" si="89"/>
        <v>0</v>
      </c>
      <c r="BA36" s="44">
        <f t="shared" si="86"/>
        <v>0.84240999999999999</v>
      </c>
      <c r="BB36" s="44">
        <f ca="1">(100+(100*0.00759*-1)+(100*0.14*-1)+(100*0.01*-1)+(100+100*0.14*-1+100*0.01*-1)*AY52*-1)/100</f>
        <v>0.61290999999999995</v>
      </c>
      <c r="BN36" s="35">
        <v>34</v>
      </c>
      <c r="BO36" s="50">
        <v>17</v>
      </c>
      <c r="BP36" s="51">
        <v>0.36</v>
      </c>
    </row>
    <row r="37" spans="18:68" ht="39.950000000000003" hidden="1" customHeight="1" x14ac:dyDescent="0.25">
      <c r="V37" s="36">
        <v>5700</v>
      </c>
      <c r="W37" s="35" t="s">
        <v>0</v>
      </c>
      <c r="X37" s="35" t="s">
        <v>0</v>
      </c>
      <c r="Y37" s="35" t="s">
        <v>0</v>
      </c>
      <c r="Z37" s="36">
        <f>(240*I23)</f>
        <v>4800</v>
      </c>
      <c r="AA37" s="36">
        <f ca="1">(AB37+AE37+AL23+AM23+AG37)</f>
        <v>4554</v>
      </c>
      <c r="AB37" s="36">
        <f t="shared" si="81"/>
        <v>4800</v>
      </c>
      <c r="AC37" s="36">
        <f t="shared" si="82"/>
        <v>4800</v>
      </c>
      <c r="AD37" s="36">
        <f t="shared" si="83"/>
        <v>0</v>
      </c>
      <c r="AE37" s="36">
        <f t="shared" si="84"/>
        <v>0</v>
      </c>
      <c r="AF37" s="36">
        <f t="shared" si="85"/>
        <v>4800</v>
      </c>
      <c r="AG37" s="36">
        <f ca="1">IF(AP23*AY53*-1&gt;=0,0,AP23*AY53*-1)</f>
        <v>0</v>
      </c>
      <c r="AH37" s="53">
        <v>30</v>
      </c>
      <c r="AI37" s="36">
        <f ca="1">(AJ37/BB37/30*AH37)</f>
        <v>3458.9091383726814</v>
      </c>
      <c r="AJ37" s="36">
        <f t="shared" si="87"/>
        <v>2120</v>
      </c>
      <c r="AK37" s="53">
        <v>30</v>
      </c>
      <c r="AL37" s="36">
        <f>(E23*AK37)</f>
        <v>45600</v>
      </c>
      <c r="AM37" s="36">
        <f ca="1">(AL37*BB37)</f>
        <v>27948.695999999996</v>
      </c>
      <c r="AN37" s="53">
        <v>30</v>
      </c>
      <c r="AO37" s="36">
        <f>(BB22*0.14*-1)</f>
        <v>-3640.7700000000004</v>
      </c>
      <c r="AP37" s="36">
        <f>(BB22*0.01*-1)</f>
        <v>-260.05500000000001</v>
      </c>
      <c r="AQ37" s="36" t="s">
        <v>0</v>
      </c>
      <c r="AR37" s="36" t="s">
        <v>0</v>
      </c>
      <c r="AS37" s="36" t="s">
        <v>0</v>
      </c>
      <c r="AT37" s="36" t="s">
        <v>0</v>
      </c>
      <c r="AU37" s="36">
        <f>(AU22+AO37+AP37)</f>
        <v>22104.674999999999</v>
      </c>
      <c r="AV37" s="36">
        <f>(0)</f>
        <v>0</v>
      </c>
      <c r="AW37" s="36">
        <f t="shared" si="88"/>
        <v>22104.674999999999</v>
      </c>
      <c r="AX37" s="36">
        <f>SUM(AW$30:$AW37)</f>
        <v>176837.39999999997</v>
      </c>
      <c r="AY37" s="63">
        <f>IF(AX37&lt;=$AS$30,$AQ$30,
IF(AX37&gt;$AS$32,
IF(AX37&gt;$AS$33,$AQ$34,$AQ$33),
IF(AX37&lt;$AS$31,$AQ$31,$AQ$32)))</f>
        <v>0.2</v>
      </c>
      <c r="AZ37" s="42">
        <f t="shared" si="89"/>
        <v>1</v>
      </c>
      <c r="BA37" s="44">
        <f t="shared" si="86"/>
        <v>0.84240999999999999</v>
      </c>
      <c r="BB37" s="44">
        <f ca="1">(100+(100*0.00759*-1)+(100*0.14*-1)+(100*0.01*-1)+(100+100*0.14*-1+100*0.01*-1)*AY53*-1)/100</f>
        <v>0.61290999999999995</v>
      </c>
      <c r="BN37" s="35">
        <v>35</v>
      </c>
      <c r="BO37" s="50">
        <v>17.5</v>
      </c>
      <c r="BP37" s="51">
        <v>0.37</v>
      </c>
    </row>
    <row r="38" spans="18:68" ht="39.950000000000003" hidden="1" customHeight="1" x14ac:dyDescent="0.25">
      <c r="V38" s="36">
        <v>2400</v>
      </c>
      <c r="W38" s="35" t="s">
        <v>0</v>
      </c>
      <c r="X38" s="35" t="s">
        <v>0</v>
      </c>
      <c r="Y38" s="35" t="s">
        <v>0</v>
      </c>
      <c r="Z38" s="36">
        <f>(240*I24)</f>
        <v>4800</v>
      </c>
      <c r="AA38" s="36">
        <f ca="1">(AB38+AE38+AL24+AM24+AG38)</f>
        <v>4554</v>
      </c>
      <c r="AB38" s="36">
        <f t="shared" si="81"/>
        <v>4800</v>
      </c>
      <c r="AC38" s="36">
        <f t="shared" si="82"/>
        <v>4800</v>
      </c>
      <c r="AD38" s="36">
        <f t="shared" si="83"/>
        <v>0</v>
      </c>
      <c r="AE38" s="36">
        <f t="shared" si="84"/>
        <v>0</v>
      </c>
      <c r="AF38" s="36">
        <f t="shared" si="85"/>
        <v>4800</v>
      </c>
      <c r="AG38" s="36">
        <f ca="1">IF(AP24*AY54*-1&gt;=0,0,AP24*AY54*-1)</f>
        <v>0</v>
      </c>
      <c r="AH38" s="53">
        <v>30</v>
      </c>
      <c r="AI38" s="36">
        <f ca="1">(AJ38/BB38/30*AH38)</f>
        <v>3458.9091383726814</v>
      </c>
      <c r="AJ38" s="36">
        <f t="shared" si="87"/>
        <v>2120</v>
      </c>
      <c r="AK38" s="53">
        <v>0</v>
      </c>
      <c r="AL38" s="36">
        <f>(E24*AK38)</f>
        <v>0</v>
      </c>
      <c r="AM38" s="36">
        <f ca="1">(AL38*BB38)</f>
        <v>0</v>
      </c>
      <c r="AN38" s="53">
        <v>30</v>
      </c>
      <c r="AO38" s="36">
        <f>(BB23*0.14*-1)</f>
        <v>-3640.7700000000004</v>
      </c>
      <c r="AP38" s="36">
        <f>(BB23*0.01*-1)</f>
        <v>-260.05500000000001</v>
      </c>
      <c r="AQ38" s="36" t="s">
        <v>0</v>
      </c>
      <c r="AR38" s="36" t="s">
        <v>0</v>
      </c>
      <c r="AS38" s="36" t="s">
        <v>0</v>
      </c>
      <c r="AT38" s="36" t="s">
        <v>0</v>
      </c>
      <c r="AU38" s="36">
        <f>(AU23+AO38+AP38)</f>
        <v>22104.674999999999</v>
      </c>
      <c r="AV38" s="36">
        <f>(0)</f>
        <v>0</v>
      </c>
      <c r="AW38" s="36">
        <f t="shared" si="88"/>
        <v>22104.674999999999</v>
      </c>
      <c r="AX38" s="36">
        <f>SUM(AW$30:$AW38)</f>
        <v>198942.07499999995</v>
      </c>
      <c r="AY38" s="63">
        <f>IF(AX38&lt;=$AS$30,$AQ$30,
IF(AX38&gt;$AS$32,
IF(AX38&gt;$AS$33,$AQ$34,$AQ$33),
IF(AX38&lt;$AS$31,$AQ$31,$AQ$32)))</f>
        <v>0.2</v>
      </c>
      <c r="AZ38" s="42">
        <f t="shared" si="89"/>
        <v>0</v>
      </c>
      <c r="BA38" s="44">
        <f t="shared" si="86"/>
        <v>0.84240999999999999</v>
      </c>
      <c r="BB38" s="44">
        <f ca="1">(100+(100*0.00759*-1)+(100*0.14*-1)+(100*0.01*-1)+(100+100*0.14*-1+100*0.01*-1)*AY54*-1)/100</f>
        <v>0.61290999999999995</v>
      </c>
      <c r="BN38" s="35">
        <v>36</v>
      </c>
      <c r="BO38" s="50">
        <v>18</v>
      </c>
      <c r="BP38" s="51">
        <v>0.38</v>
      </c>
    </row>
    <row r="39" spans="18:68" ht="39.950000000000003" hidden="1" customHeight="1" x14ac:dyDescent="0.25">
      <c r="X39" s="35" t="s">
        <v>1</v>
      </c>
      <c r="Y39" s="35" t="s">
        <v>72</v>
      </c>
      <c r="Z39" s="36">
        <f>(240*I25)</f>
        <v>4800</v>
      </c>
      <c r="AA39" s="36">
        <f ca="1">(AB39+AE39+AL25+AM25+AG39)</f>
        <v>4554</v>
      </c>
      <c r="AB39" s="36">
        <f t="shared" si="81"/>
        <v>4800</v>
      </c>
      <c r="AC39" s="36">
        <f t="shared" si="82"/>
        <v>4800</v>
      </c>
      <c r="AD39" s="36">
        <f t="shared" si="83"/>
        <v>0</v>
      </c>
      <c r="AE39" s="36">
        <f t="shared" si="84"/>
        <v>0</v>
      </c>
      <c r="AF39" s="36">
        <f t="shared" si="85"/>
        <v>4800</v>
      </c>
      <c r="AG39" s="36">
        <f ca="1">IF(AP25*AY55*-1&gt;=0,0,AP25*AY55*-1)</f>
        <v>0</v>
      </c>
      <c r="AH39" s="53">
        <v>30</v>
      </c>
      <c r="AI39" s="36">
        <f ca="1">(AJ39/BB39/30*AH39)</f>
        <v>3458.9091383726814</v>
      </c>
      <c r="AJ39" s="36">
        <f t="shared" si="87"/>
        <v>2120</v>
      </c>
      <c r="AK39" s="53">
        <v>0</v>
      </c>
      <c r="AL39" s="36">
        <f>(E25*AK39)</f>
        <v>0</v>
      </c>
      <c r="AM39" s="36">
        <f ca="1">(AL39*BB39)</f>
        <v>0</v>
      </c>
      <c r="AN39" s="53">
        <v>30</v>
      </c>
      <c r="AO39" s="36">
        <f>(BB24*0.14*-1)</f>
        <v>-3640.7700000000004</v>
      </c>
      <c r="AP39" s="36">
        <f>(BB24*0.01*-1)</f>
        <v>-260.05500000000001</v>
      </c>
      <c r="AQ39" s="36" t="s">
        <v>0</v>
      </c>
      <c r="AR39" s="36" t="s">
        <v>0</v>
      </c>
      <c r="AS39" s="36" t="s">
        <v>0</v>
      </c>
      <c r="AT39" s="36" t="s">
        <v>0</v>
      </c>
      <c r="AU39" s="36">
        <f>(AU24+AO39+AP39)</f>
        <v>22104.674999999999</v>
      </c>
      <c r="AV39" s="36">
        <f>(0)</f>
        <v>0</v>
      </c>
      <c r="AW39" s="36">
        <f t="shared" si="88"/>
        <v>22104.674999999999</v>
      </c>
      <c r="AX39" s="36">
        <f>SUM(AW$30:$AW39)</f>
        <v>221046.74999999994</v>
      </c>
      <c r="AY39" s="63">
        <f>IF(AX39&lt;=$AS$30,$AQ$30,
IF(AX39&gt;$AS$32,
IF(AX39&gt;$AS$33,$AQ$34,$AQ$33),
IF(AX39&lt;$AS$31,$AQ$31,$AQ$32)))</f>
        <v>0.2</v>
      </c>
      <c r="AZ39" s="42">
        <f t="shared" si="89"/>
        <v>0</v>
      </c>
      <c r="BA39" s="44">
        <f t="shared" si="86"/>
        <v>0.84240999999999999</v>
      </c>
      <c r="BB39" s="44">
        <f ca="1">(100+(100*0.00759*-1)+(100*0.14*-1)+(100*0.01*-1)+(100+100*0.14*-1+100*0.01*-1)*AY55*-1)/100</f>
        <v>0.61290999999999995</v>
      </c>
      <c r="BN39" s="35">
        <v>37</v>
      </c>
      <c r="BO39" s="50">
        <v>18.5</v>
      </c>
      <c r="BP39" s="51">
        <v>0.39</v>
      </c>
    </row>
    <row r="40" spans="18:68" ht="39.950000000000003" hidden="1" customHeight="1" x14ac:dyDescent="0.25">
      <c r="X40" s="42" t="s">
        <v>52</v>
      </c>
      <c r="Y40" s="43">
        <v>0</v>
      </c>
      <c r="Z40" s="36">
        <f>(240*I26)</f>
        <v>4800</v>
      </c>
      <c r="AA40" s="36">
        <f ca="1">(AB40+AE40+AL26+AM26+AG40)</f>
        <v>4554</v>
      </c>
      <c r="AB40" s="36">
        <f t="shared" si="81"/>
        <v>4800</v>
      </c>
      <c r="AC40" s="36">
        <f t="shared" si="82"/>
        <v>4800</v>
      </c>
      <c r="AD40" s="36">
        <f t="shared" si="83"/>
        <v>0</v>
      </c>
      <c r="AE40" s="36">
        <f t="shared" si="84"/>
        <v>0</v>
      </c>
      <c r="AF40" s="36">
        <f t="shared" si="85"/>
        <v>4800</v>
      </c>
      <c r="AG40" s="36">
        <f ca="1">IF(AP26*AY56*-1&gt;=0,0,AP26*AY56*-1)</f>
        <v>0</v>
      </c>
      <c r="AH40" s="53">
        <v>30</v>
      </c>
      <c r="AI40" s="36">
        <f ca="1">(AJ40/BB40/30*AH40)</f>
        <v>3458.9091383726814</v>
      </c>
      <c r="AJ40" s="36">
        <f t="shared" si="87"/>
        <v>2120</v>
      </c>
      <c r="AK40" s="53">
        <v>30</v>
      </c>
      <c r="AL40" s="36">
        <f>(E26*AK40)</f>
        <v>45600</v>
      </c>
      <c r="AM40" s="36">
        <f ca="1">(AL40*BB40)</f>
        <v>27948.695999999996</v>
      </c>
      <c r="AN40" s="53">
        <v>30</v>
      </c>
      <c r="AO40" s="36">
        <f>(BB25*0.14*-1)</f>
        <v>-3640.7700000000004</v>
      </c>
      <c r="AP40" s="36">
        <f>(BB25*0.01*-1)</f>
        <v>-260.05500000000001</v>
      </c>
      <c r="AQ40" s="36" t="s">
        <v>0</v>
      </c>
      <c r="AR40" s="36" t="s">
        <v>0</v>
      </c>
      <c r="AS40" s="36" t="s">
        <v>0</v>
      </c>
      <c r="AT40" s="36" t="s">
        <v>0</v>
      </c>
      <c r="AU40" s="36">
        <f>(AU25+AO40+AP40)</f>
        <v>22104.674999999999</v>
      </c>
      <c r="AV40" s="36">
        <f>(0)</f>
        <v>0</v>
      </c>
      <c r="AW40" s="36">
        <f t="shared" si="88"/>
        <v>22104.674999999999</v>
      </c>
      <c r="AX40" s="36">
        <f>SUM(AW$30:$AW40)</f>
        <v>243151.42499999993</v>
      </c>
      <c r="AY40" s="63">
        <f>IF(AX40&lt;=$AS$30,$AQ$30,
IF(AX40&gt;$AS$32,
IF(AX40&gt;$AS$33,$AQ$34,$AQ$33),
IF(AX40&lt;$AS$31,$AQ$31,$AQ$32)))</f>
        <v>0.2</v>
      </c>
      <c r="AZ40" s="42">
        <f t="shared" si="89"/>
        <v>0</v>
      </c>
      <c r="BA40" s="44">
        <f t="shared" si="86"/>
        <v>0.84240999999999999</v>
      </c>
      <c r="BB40" s="44">
        <f ca="1">(100+(100*0.00759*-1)+(100*0.14*-1)+(100*0.01*-1)+(100+100*0.14*-1+100*0.01*-1)*AY56*-1)/100</f>
        <v>0.61290999999999995</v>
      </c>
      <c r="BN40" s="35">
        <v>38</v>
      </c>
      <c r="BO40" s="50">
        <v>19</v>
      </c>
      <c r="BP40" s="51">
        <v>0.4</v>
      </c>
    </row>
    <row r="41" spans="18:68" ht="39.950000000000003" hidden="1" customHeight="1" x14ac:dyDescent="0.25">
      <c r="X41" s="42" t="s">
        <v>58</v>
      </c>
      <c r="Y41" s="43">
        <v>0</v>
      </c>
      <c r="Z41" s="36">
        <f>(Z29+Z30+Z31+Z32+Z33+Z34+Z35+Z36+Z37+Z38+Z39+Z40)</f>
        <v>57600</v>
      </c>
      <c r="AA41" s="36">
        <f ca="1">(AA29+AA30+AA31+AA32+AA33+AA34+AA35+AA36+AA37+AA38+AA39+AA40)</f>
        <v>54648</v>
      </c>
      <c r="AB41" s="36">
        <f>(AB29+AB30+AB31+AB32+AB33+AB34+AB35+AB36+AB37+AB38+AB39+AB40)</f>
        <v>57600</v>
      </c>
      <c r="AC41" s="36">
        <f t="shared" ref="AC41" si="100">(AC29+AC30+AC31+AC32+AC33+AC34+AC35+AC36+AC37+AC38+AC39+AC40)</f>
        <v>57600</v>
      </c>
      <c r="AD41" s="36">
        <f>(AD29+AD30+AD31+AD32+AD33+AD34+AD35+AD36+AD37+AD38+AD39+AD40)</f>
        <v>0</v>
      </c>
      <c r="AE41" s="36">
        <f>(AE29+AE30+AE31+AE32+AE33+AE34+AE35+AE36+AE37+AE38+AE39+AE40)</f>
        <v>0</v>
      </c>
      <c r="AF41" s="36">
        <f t="shared" ref="AF41" si="101">(AF29+AF30+AF31+AF32+AF33+AF34+AF35+AF36+AF37+AF38+AF39+AF40)</f>
        <v>57600</v>
      </c>
      <c r="AG41" s="36">
        <f ca="1">(AG29+AG30+AG31+AG32+AG33+AG34+AG35+AG36+AG37+AG38+AG39+AG40)</f>
        <v>0</v>
      </c>
      <c r="AH41" s="53">
        <f>(AH29+AH30+AH31+AH32+AH33+AH34+AH35+AH36+AH37+AH38+AH39+AH40)</f>
        <v>360</v>
      </c>
      <c r="AI41" s="36">
        <f t="shared" ref="AI41:AJ41" ca="1" si="102">(AI29+AI30+AI31+AI32+AI33+AI34+AI35+AI36+AI37+AI38+AI39+AI40)</f>
        <v>38708.369026384767</v>
      </c>
      <c r="AJ41" s="36">
        <f t="shared" si="102"/>
        <v>25128.333333333336</v>
      </c>
      <c r="AK41" s="53">
        <f>(AK29+AK30+AK31+AK32+AK33+AK34+AK35+AK36+AK37+AK38+AK39+AK40)</f>
        <v>120</v>
      </c>
      <c r="AL41" s="36">
        <f t="shared" ref="AL41:AM41" si="103">(AL29+AL30+AL31+AL32+AL33+AL34+AL35+AL36+AL37+AL38+AL39+AL40)</f>
        <v>182400</v>
      </c>
      <c r="AM41" s="36">
        <f t="shared" ca="1" si="103"/>
        <v>118802.23781915117</v>
      </c>
      <c r="AN41" s="53">
        <f>(AN29+AN30+AN31+AN32+AN33+AN34+AN35+AN36+AN37+AN38+AN39+AN40)</f>
        <v>360</v>
      </c>
      <c r="AO41" s="36">
        <f>(BB26*0.14*-1)</f>
        <v>-3640.7700000000004</v>
      </c>
      <c r="AP41" s="36">
        <f>(BB26*0.01*-1)</f>
        <v>-260.05500000000001</v>
      </c>
      <c r="AQ41" s="36" t="s">
        <v>0</v>
      </c>
      <c r="AR41" s="36" t="s">
        <v>0</v>
      </c>
      <c r="AS41" s="36" t="s">
        <v>0</v>
      </c>
      <c r="AT41" s="36" t="s">
        <v>0</v>
      </c>
      <c r="AU41" s="36">
        <f>(AU26+AO41+AP41)</f>
        <v>22104.674999999999</v>
      </c>
      <c r="AV41" s="36">
        <f>(0)</f>
        <v>0</v>
      </c>
      <c r="AW41" s="36">
        <f t="shared" si="88"/>
        <v>22104.674999999999</v>
      </c>
      <c r="AX41" s="36">
        <f>SUM(AW$30:$AW41)</f>
        <v>265256.09999999992</v>
      </c>
      <c r="AY41" s="63">
        <f>IF(AX41&lt;=$AS$30,$AQ$30,
IF(AX41&gt;$AS$32,
IF(AX41&gt;$AS$33,$AQ$34,$AQ$33),
IF(AX41&lt;$AS$31,$AQ$31,$AQ$32)))</f>
        <v>0.2</v>
      </c>
      <c r="AZ41" s="42">
        <f t="shared" si="89"/>
        <v>0</v>
      </c>
      <c r="BA41" s="35" t="s">
        <v>0</v>
      </c>
      <c r="BB41" s="35" t="s">
        <v>0</v>
      </c>
      <c r="BN41" s="35">
        <v>39</v>
      </c>
      <c r="BO41" s="50">
        <v>19.5</v>
      </c>
      <c r="BP41" s="51">
        <v>0.41</v>
      </c>
    </row>
    <row r="42" spans="18:68" ht="39.950000000000003" hidden="1" customHeight="1" x14ac:dyDescent="0.25">
      <c r="X42" s="42" t="s">
        <v>59</v>
      </c>
      <c r="Y42" s="43">
        <v>0</v>
      </c>
      <c r="Z42" s="36">
        <f>(Z41/12)</f>
        <v>4800</v>
      </c>
      <c r="AA42" s="36">
        <f ca="1">(AA41/12)</f>
        <v>4554</v>
      </c>
      <c r="AB42" s="36">
        <f>(AB41/12)</f>
        <v>4800</v>
      </c>
      <c r="AC42" s="36">
        <f t="shared" ref="AC42" si="104">(AC41/12)</f>
        <v>4800</v>
      </c>
      <c r="AD42" s="36">
        <f>(AD41/12)</f>
        <v>0</v>
      </c>
      <c r="AE42" s="36">
        <f>(AE41/12)</f>
        <v>0</v>
      </c>
      <c r="AF42" s="36">
        <f t="shared" ref="AF42" si="105">(AF41/12)</f>
        <v>4800</v>
      </c>
      <c r="AG42" s="36">
        <f ca="1">(AG41/12)</f>
        <v>0</v>
      </c>
      <c r="AH42" s="52" t="s">
        <v>0</v>
      </c>
      <c r="AI42" s="36">
        <f t="shared" ref="AI42:AJ42" ca="1" si="106">(AI41/12)</f>
        <v>3225.6974188653971</v>
      </c>
      <c r="AJ42" s="36">
        <f t="shared" si="106"/>
        <v>2094.0277777777778</v>
      </c>
      <c r="AK42" s="52" t="s">
        <v>0</v>
      </c>
      <c r="AL42" s="36">
        <f t="shared" ref="AL42:AM42" si="107">(AL41/12)</f>
        <v>15200</v>
      </c>
      <c r="AM42" s="36">
        <f t="shared" ca="1" si="107"/>
        <v>9900.1864849292633</v>
      </c>
      <c r="AN42" s="52" t="s">
        <v>0</v>
      </c>
      <c r="AO42" s="36">
        <f t="shared" ref="AO42" si="108">(AO30+AO31+AO32+AO33+AO34+AO35+AO36+AO37+AO38+AO39+AO40+AO41)</f>
        <v>-43689.240000000005</v>
      </c>
      <c r="AP42" s="36">
        <f t="shared" ref="AP42" si="109">(AP30+AP31+AP32+AP33+AP34+AP35+AP36+AP37+AP38+AP39+AP40+AP41)</f>
        <v>-3120.6599999999994</v>
      </c>
      <c r="AQ42" s="52" t="s">
        <v>0</v>
      </c>
      <c r="AR42" s="52" t="s">
        <v>0</v>
      </c>
      <c r="AS42" s="52" t="s">
        <v>0</v>
      </c>
      <c r="AT42" s="52" t="s">
        <v>0</v>
      </c>
      <c r="AU42" s="36">
        <f t="shared" ref="AU42" si="110">(AU30+AU31+AU32+AU33+AU34+AU35+AU36+AU37+AU38+AU39+AU40+AU41)</f>
        <v>265256.09999999992</v>
      </c>
      <c r="AV42" s="36">
        <f t="shared" ref="AV42" si="111">(AV30+AV31+AV32+AV33+AV34+AV35+AV36+AV37+AV38+AV39+AV40+AV41)</f>
        <v>0</v>
      </c>
      <c r="AW42" s="36">
        <f t="shared" ref="AW42" si="112">(AW30+AW31+AW32+AW33+AW34+AW35+AW36+AW37+AW38+AW39+AW40+AW41)</f>
        <v>265256.09999999992</v>
      </c>
      <c r="AX42" s="52" t="s">
        <v>0</v>
      </c>
      <c r="AY42" s="35" t="s">
        <v>0</v>
      </c>
      <c r="AZ42" s="35" t="s">
        <v>0</v>
      </c>
      <c r="BA42" s="52" t="s">
        <v>0</v>
      </c>
      <c r="BB42" s="52" t="s">
        <v>0</v>
      </c>
      <c r="BN42" s="35">
        <v>40</v>
      </c>
      <c r="BO42" s="50">
        <v>20</v>
      </c>
      <c r="BP42" s="51">
        <v>0.42</v>
      </c>
    </row>
    <row r="43" spans="18:68" ht="39.950000000000003" hidden="1" customHeight="1" x14ac:dyDescent="0.25">
      <c r="X43" s="42" t="s">
        <v>60</v>
      </c>
      <c r="Y43" s="43">
        <v>0</v>
      </c>
      <c r="AO43" s="36">
        <f t="shared" ref="AO43" si="113">(AO42/12)</f>
        <v>-3640.7700000000004</v>
      </c>
      <c r="AP43" s="36">
        <f t="shared" ref="AP43" si="114">(AP42/12)</f>
        <v>-260.05499999999995</v>
      </c>
      <c r="AQ43" s="52" t="s">
        <v>0</v>
      </c>
      <c r="AR43" s="52" t="s">
        <v>0</v>
      </c>
      <c r="AS43" s="52" t="s">
        <v>0</v>
      </c>
      <c r="AT43" s="52" t="s">
        <v>0</v>
      </c>
      <c r="AU43" s="36">
        <f t="shared" ref="AU43" si="115">(AU42/12)</f>
        <v>22104.674999999992</v>
      </c>
      <c r="AV43" s="36">
        <f t="shared" ref="AV43" si="116">(AV42/12)</f>
        <v>0</v>
      </c>
      <c r="AW43" s="36">
        <f t="shared" ref="AW43" si="117">(AW42/12)</f>
        <v>22104.674999999992</v>
      </c>
      <c r="AX43" s="52" t="s">
        <v>0</v>
      </c>
      <c r="AY43" s="52" t="s">
        <v>0</v>
      </c>
      <c r="AZ43" s="52" t="s">
        <v>0</v>
      </c>
      <c r="BN43" s="35">
        <v>41</v>
      </c>
      <c r="BO43" s="50">
        <v>20.5</v>
      </c>
      <c r="BP43" s="51">
        <v>0.43</v>
      </c>
    </row>
    <row r="44" spans="18:68" ht="39.950000000000003" hidden="1" customHeight="1" x14ac:dyDescent="0.25">
      <c r="X44" s="42" t="s">
        <v>61</v>
      </c>
      <c r="Y44" s="43">
        <v>0</v>
      </c>
      <c r="AV44" s="36">
        <f>(0)</f>
        <v>0</v>
      </c>
      <c r="AW44" s="63">
        <f>(0%)</f>
        <v>0</v>
      </c>
      <c r="BN44" s="35">
        <v>42</v>
      </c>
      <c r="BO44" s="50">
        <v>21</v>
      </c>
      <c r="BP44" s="51">
        <v>0.44</v>
      </c>
    </row>
    <row r="45" spans="18:68" ht="39.950000000000003" hidden="1" customHeight="1" x14ac:dyDescent="0.25">
      <c r="X45" s="42" t="s">
        <v>2</v>
      </c>
      <c r="Y45" s="43">
        <v>0</v>
      </c>
      <c r="AM45" s="36">
        <f ca="1">(BB1*0.00759*-1)</f>
        <v>-141.51445644942723</v>
      </c>
      <c r="AN45" s="36">
        <f ca="1">(AZ1)</f>
        <v>49450.355922190676</v>
      </c>
      <c r="AO45" s="36">
        <f>(AJ1+AP1)</f>
        <v>3160</v>
      </c>
      <c r="AP45" s="36">
        <f ca="1">IF(AN45-AO45&gt;=AU15*7.5,AU15*7.5,AN45-AO45)</f>
        <v>46290.355922190676</v>
      </c>
      <c r="AQ45" s="36">
        <f ca="1">(AP45*0.14*-1)</f>
        <v>-6480.6498291066955</v>
      </c>
      <c r="AR45" s="36">
        <f ca="1">(AP45*0.01*-1)</f>
        <v>-462.90355922190679</v>
      </c>
      <c r="AS45" s="36">
        <f ca="1">(AZ1+AQ45+AR45)</f>
        <v>42506.802533862072</v>
      </c>
      <c r="AT45" s="36">
        <f>(AO15+AP1+AT1+AT15)</f>
        <v>4554</v>
      </c>
      <c r="AU45" s="36">
        <f ca="1">(AS45-AT45)</f>
        <v>37952.802533862072</v>
      </c>
      <c r="AV45" s="36">
        <f ca="1">SUM($AU$45:AU45)</f>
        <v>37952.802533862072</v>
      </c>
      <c r="AW45" s="63">
        <f ca="1">IF(AV45&lt;=$AS$30,$AQ$30,
IF(AV45&gt;$AS$32,
IF(AV45&gt;$AS$33,$AQ$34,$AQ$33),
IF(AV45&lt;$AS$31,$AQ$31,$AQ$32)))</f>
        <v>0.15</v>
      </c>
      <c r="AX45" s="42">
        <f ca="1">IF(AW45-AW44=0,0,1)</f>
        <v>1</v>
      </c>
      <c r="AY45" s="44">
        <f ca="1">(IF(AX45=0,AW45,(VLOOKUP($AW45,$AQ$30:$AT$34,2,0)-AV44)/AU45*AW44+(AV45-VLOOKUP($AW45,$AQ$30:$AT$34,2,0))/AU45*AW45))</f>
        <v>0.15</v>
      </c>
      <c r="AZ45" s="36">
        <f ca="1">(ROUND(AU45*AY45,2)*(-1)+VLOOKUP(AW45,$AQ$30:$AT$34,4,0)*(-1))</f>
        <v>-5692.92</v>
      </c>
      <c r="BA45" s="36">
        <f ca="1">(AZ45+AV1)</f>
        <v>-2377.2200000000003</v>
      </c>
      <c r="BB45" s="44">
        <f t="shared" ref="BB45:BB56" ca="1" si="118">(100+(100*0.00759*-1)+(100)*AY45*-1)/100</f>
        <v>0.84240999999999999</v>
      </c>
      <c r="BN45" s="35">
        <v>43</v>
      </c>
      <c r="BO45" s="50">
        <v>21.5</v>
      </c>
      <c r="BP45" s="51">
        <v>0.45</v>
      </c>
    </row>
    <row r="46" spans="18:68" ht="39.950000000000003" hidden="1" customHeight="1" x14ac:dyDescent="0.25">
      <c r="X46" s="42" t="s">
        <v>64</v>
      </c>
      <c r="Y46" s="43">
        <v>0</v>
      </c>
      <c r="AM46" s="36">
        <f ca="1">(BB2*0.00759*-1)</f>
        <v>-144.82333449001973</v>
      </c>
      <c r="AN46" s="36">
        <f ca="1">(AZ2)</f>
        <v>49886.308233204181</v>
      </c>
      <c r="AO46" s="36">
        <f>(AJ2+AP2)</f>
        <v>3160</v>
      </c>
      <c r="AP46" s="36">
        <f ca="1">IF(AN46-AO46&gt;=AU16*7.5,AU16*7.5,AN46-AO46)</f>
        <v>46726.308233204181</v>
      </c>
      <c r="AQ46" s="36">
        <f t="shared" ref="AQ46:AQ56" ca="1" si="119">(AP46*0.14*-1)</f>
        <v>-6541.6831526485857</v>
      </c>
      <c r="AR46" s="36">
        <f t="shared" ref="AR46:AR56" ca="1" si="120">(AP46*0.01*-1)</f>
        <v>-467.26308233204185</v>
      </c>
      <c r="AS46" s="36">
        <f ca="1">(AZ2+AQ46+AR46)</f>
        <v>42877.361998223554</v>
      </c>
      <c r="AT46" s="36">
        <f>(AO16+AP2+AT2+AT16)</f>
        <v>4554</v>
      </c>
      <c r="AU46" s="36">
        <f t="shared" ref="AU46:AU56" ca="1" si="121">(AS46-AT46)</f>
        <v>38323.361998223554</v>
      </c>
      <c r="AV46" s="36">
        <f ca="1">SUM($AU$45:AU46)</f>
        <v>76276.164532085619</v>
      </c>
      <c r="AW46" s="63">
        <f ca="1">IF(AV46&lt;=$AS$30,$AQ$30,
IF(AV46&gt;$AS$32,
IF(AV46&gt;$AS$33,$AQ$34,$AQ$33),
IF(AV46&lt;$AS$31,$AQ$31,$AQ$32)))</f>
        <v>0.15</v>
      </c>
      <c r="AX46" s="42">
        <f t="shared" ref="AX46:AX56" ca="1" si="122">IF(AW46-AW45=0,0,1)</f>
        <v>0</v>
      </c>
      <c r="AY46" s="44">
        <f ca="1">(IF(AX46=0,AW46,(VLOOKUP($AW46,$AQ$30:$AT$34,2,0)-AV45)/AU46*AW45+(AV46-VLOOKUP($AW46,$AQ$30:$AT$34,2,0))/AU46*AW46))</f>
        <v>0.15</v>
      </c>
      <c r="AZ46" s="36">
        <f ca="1">(ROUND(AU46*AY46,2)*(-1))</f>
        <v>-5748.5</v>
      </c>
      <c r="BA46" s="36">
        <f ca="1">(AZ46+AV2)</f>
        <v>-2432.8000000000002</v>
      </c>
      <c r="BB46" s="44">
        <f t="shared" ca="1" si="118"/>
        <v>0.84240999999999999</v>
      </c>
      <c r="BN46" s="35">
        <v>44</v>
      </c>
      <c r="BO46" s="50">
        <v>22</v>
      </c>
      <c r="BP46" s="51">
        <v>0.46</v>
      </c>
    </row>
    <row r="47" spans="18:68" ht="39.950000000000003" hidden="1" customHeight="1" x14ac:dyDescent="0.25">
      <c r="X47" s="42" t="s">
        <v>65</v>
      </c>
      <c r="Y47" s="43">
        <v>0</v>
      </c>
      <c r="AM47" s="36">
        <f ca="1">(BB3*0.00759*-1)</f>
        <v>-560.87566283049637</v>
      </c>
      <c r="AN47" s="36">
        <f ca="1">(AZ3)</f>
        <v>104702.16176949885</v>
      </c>
      <c r="AO47" s="36">
        <f>(AJ3+AP3)</f>
        <v>3160</v>
      </c>
      <c r="AP47" s="36">
        <f ca="1">IF(AN47-AO47&gt;=AU17*7.5,AU17*7.5,AN47-AO47)</f>
        <v>101542.16176949885</v>
      </c>
      <c r="AQ47" s="36">
        <f t="shared" ca="1" si="119"/>
        <v>-14215.902647729841</v>
      </c>
      <c r="AR47" s="36">
        <f t="shared" ca="1" si="120"/>
        <v>-1015.4216176949885</v>
      </c>
      <c r="AS47" s="36">
        <f ca="1">(AZ3+AQ47+AR47)</f>
        <v>89470.837504074021</v>
      </c>
      <c r="AT47" s="36">
        <f>(AO17+AP3+AT3+AT17)</f>
        <v>4554</v>
      </c>
      <c r="AU47" s="36">
        <f t="shared" ca="1" si="121"/>
        <v>84916.837504074021</v>
      </c>
      <c r="AV47" s="36">
        <f ca="1">SUM($AU$45:AU47)</f>
        <v>161193.00203615963</v>
      </c>
      <c r="AW47" s="63">
        <f ca="1">IF(AV47&lt;=$AS$30,$AQ$30,
IF(AV47&gt;$AS$32,
IF(AV47&gt;$AS$33,$AQ$34,$AQ$33),
IF(AV47&lt;$AS$31,$AQ$31,$AQ$32)))</f>
        <v>0.2</v>
      </c>
      <c r="AX47" s="42">
        <f t="shared" ca="1" si="122"/>
        <v>1</v>
      </c>
      <c r="AY47" s="44">
        <f ca="1">(IF(AX47=0,AW47,(VLOOKUP($AW47,$AQ$30:$AT$34,2,0)-AV46)/AU47*AW46+(AV47-VLOOKUP($AW47,$AQ$30:$AT$34,2,0))/AU47*AW47))</f>
        <v>0.15188007592487554</v>
      </c>
      <c r="AZ47" s="36">
        <f t="shared" ref="AZ47:AZ56" ca="1" si="123">(ROUND(AU47*AY47,2)*(-1))</f>
        <v>-12897.18</v>
      </c>
      <c r="BA47" s="36">
        <f ca="1">(AZ47+AV3)</f>
        <v>-9581.48</v>
      </c>
      <c r="BB47" s="44">
        <f t="shared" ca="1" si="118"/>
        <v>0.8405299240751245</v>
      </c>
      <c r="BN47" s="35">
        <v>45</v>
      </c>
      <c r="BO47" s="50">
        <v>22.5</v>
      </c>
      <c r="BP47" s="51">
        <v>0.47</v>
      </c>
    </row>
    <row r="48" spans="18:68" ht="39.950000000000003" hidden="1" customHeight="1" x14ac:dyDescent="0.25">
      <c r="X48" s="42" t="s">
        <v>66</v>
      </c>
      <c r="Y48" s="43">
        <v>0</v>
      </c>
      <c r="AM48" s="36">
        <f ca="1">(BB4*0.00759*-1)</f>
        <v>-216.14383258229211</v>
      </c>
      <c r="AN48" s="36">
        <f ca="1">(AZ4)</f>
        <v>59282.948298062198</v>
      </c>
      <c r="AO48" s="36">
        <f>(AJ4+AP4)</f>
        <v>3160</v>
      </c>
      <c r="AP48" s="36">
        <f ca="1">IF(AN48-AO48&gt;=AU18*7.5,AU18*7.5,AN48-AO48)</f>
        <v>56122.948298062198</v>
      </c>
      <c r="AQ48" s="36">
        <f t="shared" ca="1" si="119"/>
        <v>-7857.2127617287088</v>
      </c>
      <c r="AR48" s="36">
        <f t="shared" ca="1" si="120"/>
        <v>-561.22948298062204</v>
      </c>
      <c r="AS48" s="36">
        <f ca="1">(AZ4+AQ48+AR48)</f>
        <v>50864.506053352867</v>
      </c>
      <c r="AT48" s="36">
        <f>(AO18+AP4+AT4+AT18)</f>
        <v>4554</v>
      </c>
      <c r="AU48" s="36">
        <f t="shared" ca="1" si="121"/>
        <v>46310.506053352867</v>
      </c>
      <c r="AV48" s="36">
        <f ca="1">SUM($AU$45:AU48)</f>
        <v>207503.5080895125</v>
      </c>
      <c r="AW48" s="63">
        <f ca="1">IF(AV48&lt;=$AS$30,$AQ$30,
IF(AV48&gt;$AS$32,
IF(AV48&gt;$AS$33,$AQ$34,$AQ$33),
IF(AV48&lt;$AS$31,$AQ$31,$AQ$32)))</f>
        <v>0.2</v>
      </c>
      <c r="AX48" s="42">
        <f t="shared" ca="1" si="122"/>
        <v>0</v>
      </c>
      <c r="AY48" s="44">
        <f ca="1">(IF(AX48=0,AW48,(VLOOKUP($AW48,$AQ$30:$AT$34,2,0)-AV47)/AU48*AW47+(AV48-VLOOKUP($AW48,$AQ$30:$AT$34,2,0))/AU48*AW48))</f>
        <v>0.2</v>
      </c>
      <c r="AZ48" s="36">
        <f t="shared" ca="1" si="123"/>
        <v>-9262.1</v>
      </c>
      <c r="BA48" s="36">
        <f ca="1">(AZ48+AV4)</f>
        <v>-5946.4000000000005</v>
      </c>
      <c r="BB48" s="44">
        <f t="shared" ca="1" si="118"/>
        <v>0.79240999999999995</v>
      </c>
      <c r="BN48" s="35">
        <v>46</v>
      </c>
      <c r="BO48" s="50">
        <v>23</v>
      </c>
      <c r="BP48" s="51">
        <v>0.48</v>
      </c>
    </row>
    <row r="49" spans="24:68" ht="39.950000000000003" hidden="1" customHeight="1" x14ac:dyDescent="0.25">
      <c r="X49" s="42" t="s">
        <v>67</v>
      </c>
      <c r="Y49" s="43">
        <v>0</v>
      </c>
      <c r="AM49" s="36">
        <f ca="1">(BB5*0.00759*-1)</f>
        <v>-216.14383258229211</v>
      </c>
      <c r="AN49" s="36">
        <f ca="1">(AZ5)</f>
        <v>59282.948298062198</v>
      </c>
      <c r="AO49" s="36">
        <f>(AJ5+AP5)</f>
        <v>3160</v>
      </c>
      <c r="AP49" s="36">
        <f ca="1">IF(AN49-AO49&gt;=AU19*7.5,AU19*7.5,AN49-AO49)</f>
        <v>56122.948298062198</v>
      </c>
      <c r="AQ49" s="36">
        <f t="shared" ca="1" si="119"/>
        <v>-7857.2127617287088</v>
      </c>
      <c r="AR49" s="36">
        <f t="shared" ca="1" si="120"/>
        <v>-561.22948298062204</v>
      </c>
      <c r="AS49" s="36">
        <f ca="1">(AZ5+AQ49+AR49)</f>
        <v>50864.506053352867</v>
      </c>
      <c r="AT49" s="36">
        <f>(AO19+AP5+AT5+AT19)</f>
        <v>4554</v>
      </c>
      <c r="AU49" s="36">
        <f t="shared" ca="1" si="121"/>
        <v>46310.506053352867</v>
      </c>
      <c r="AV49" s="36">
        <f ca="1">SUM($AU$45:AU49)</f>
        <v>253814.01414286537</v>
      </c>
      <c r="AW49" s="63">
        <f ca="1">IF(AV49&lt;=$AS$30,$AQ$30,
IF(AV49&gt;$AS$32,
IF(AV49&gt;$AS$33,$AQ$34,$AQ$33),
IF(AV49&lt;$AS$31,$AQ$31,$AQ$32)))</f>
        <v>0.2</v>
      </c>
      <c r="AX49" s="42">
        <f t="shared" ca="1" si="122"/>
        <v>0</v>
      </c>
      <c r="AY49" s="44">
        <f ca="1">(IF(AX49=0,AW49,(VLOOKUP($AW49,$AQ$30:$AT$34,2,0)-AV48)/AU49*AW48+(AV49-VLOOKUP($AW49,$AQ$30:$AT$34,2,0))/AU49*AW49))</f>
        <v>0.2</v>
      </c>
      <c r="AZ49" s="36">
        <f t="shared" ca="1" si="123"/>
        <v>-9262.1</v>
      </c>
      <c r="BA49" s="36">
        <f ca="1">(AZ49+AV5)</f>
        <v>-5946.4000000000005</v>
      </c>
      <c r="BB49" s="44">
        <f t="shared" ca="1" si="118"/>
        <v>0.79240999999999995</v>
      </c>
      <c r="BN49" s="35">
        <v>47</v>
      </c>
      <c r="BO49" s="50">
        <v>23.5</v>
      </c>
      <c r="BP49" s="51">
        <v>0.49</v>
      </c>
    </row>
    <row r="50" spans="24:68" ht="39.950000000000003" hidden="1" customHeight="1" x14ac:dyDescent="0.25">
      <c r="X50" s="42" t="s">
        <v>62</v>
      </c>
      <c r="Y50" s="43">
        <v>0</v>
      </c>
      <c r="AM50" s="36">
        <f ca="1">(BB6*0.00759*-1)</f>
        <v>-562.47161141424124</v>
      </c>
      <c r="AN50" s="36">
        <f ca="1">(AZ6)</f>
        <v>104912.43167513059</v>
      </c>
      <c r="AO50" s="36">
        <f>(AJ6+AP6)</f>
        <v>3160</v>
      </c>
      <c r="AP50" s="36">
        <f ca="1">IF(AN50-AO50&gt;=AU20*7.5,AU20*7.5,AN50-AO50)</f>
        <v>101752.43167513059</v>
      </c>
      <c r="AQ50" s="36">
        <f t="shared" ca="1" si="119"/>
        <v>-14245.340434518284</v>
      </c>
      <c r="AR50" s="36">
        <f t="shared" ca="1" si="120"/>
        <v>-1017.5243167513059</v>
      </c>
      <c r="AS50" s="36">
        <f ca="1">(AZ6+AQ50+AR50)</f>
        <v>89649.566923860999</v>
      </c>
      <c r="AT50" s="36">
        <f>(AO20+AP6+AT6+AT20)</f>
        <v>4554</v>
      </c>
      <c r="AU50" s="36">
        <f t="shared" ca="1" si="121"/>
        <v>85095.566923860999</v>
      </c>
      <c r="AV50" s="36">
        <f ca="1">SUM($AU$45:AU50)</f>
        <v>338909.58106672636</v>
      </c>
      <c r="AW50" s="63">
        <f ca="1">IF(AV50&lt;=$AS$30,$AQ$30,
IF(AV50&gt;$AS$32,
IF(AV50&gt;$AS$33,$AQ$34,$AQ$33),
IF(AV50&lt;$AS$31,$AQ$31,$AQ$32)))</f>
        <v>0.27</v>
      </c>
      <c r="AX50" s="42">
        <f t="shared" ca="1" si="122"/>
        <v>1</v>
      </c>
      <c r="AY50" s="44">
        <f ca="1">(IF(AX50=0,AW50,(VLOOKUP($AW50,$AQ$30:$AT$34,2,0)-AV49)/AU50*AW49+(AV50-VLOOKUP($AW50,$AQ$30:$AT$34,2,0))/AU50*AW50))</f>
        <v>0.20732906186792163</v>
      </c>
      <c r="AZ50" s="36">
        <f t="shared" ca="1" si="123"/>
        <v>-17642.78</v>
      </c>
      <c r="BA50" s="36">
        <f ca="1">(AZ50+AV6)</f>
        <v>-14327.079999999998</v>
      </c>
      <c r="BB50" s="44">
        <f t="shared" ca="1" si="118"/>
        <v>0.78508093813207835</v>
      </c>
      <c r="BN50" s="35">
        <v>48</v>
      </c>
      <c r="BO50" s="50">
        <v>24</v>
      </c>
      <c r="BP50" s="51">
        <v>0.5</v>
      </c>
    </row>
    <row r="51" spans="24:68" ht="39.950000000000003" hidden="1" customHeight="1" x14ac:dyDescent="0.25">
      <c r="X51" s="42" t="s">
        <v>63</v>
      </c>
      <c r="Y51" s="43">
        <v>0</v>
      </c>
      <c r="AM51" s="36">
        <f ca="1">(BB7*0.00759*-1)</f>
        <v>-218.46691026024868</v>
      </c>
      <c r="AN51" s="36">
        <f ca="1">(AZ7)</f>
        <v>59589.019138372685</v>
      </c>
      <c r="AO51" s="36">
        <f>(AJ7+AP7)</f>
        <v>3160</v>
      </c>
      <c r="AP51" s="36">
        <f ca="1">IF(AN51-AO51&gt;=AU21*7.5,AU21*7.5,AN51-AO51)</f>
        <v>56429.019138372685</v>
      </c>
      <c r="AQ51" s="36">
        <f t="shared" ca="1" si="119"/>
        <v>-7900.0626793721767</v>
      </c>
      <c r="AR51" s="36">
        <f t="shared" ca="1" si="120"/>
        <v>-564.29019138372689</v>
      </c>
      <c r="AS51" s="36">
        <f ca="1">(AZ7+AQ51+AR51)</f>
        <v>51124.666267616783</v>
      </c>
      <c r="AT51" s="36">
        <f>(AO21+AP7+AT7+AT21)</f>
        <v>4554</v>
      </c>
      <c r="AU51" s="36">
        <f t="shared" ca="1" si="121"/>
        <v>46570.666267616783</v>
      </c>
      <c r="AV51" s="36">
        <f ca="1">SUM($AU$45:AU51)</f>
        <v>385480.24733434315</v>
      </c>
      <c r="AW51" s="63">
        <f ca="1">IF(AV51&lt;=$AS$30,$AQ$30,
IF(AV51&gt;$AS$32,
IF(AV51&gt;$AS$33,$AQ$34,$AQ$33),
IF(AV51&lt;$AS$31,$AQ$31,$AQ$32)))</f>
        <v>0.27</v>
      </c>
      <c r="AX51" s="42">
        <f t="shared" ca="1" si="122"/>
        <v>0</v>
      </c>
      <c r="AY51" s="44">
        <f ca="1">(IF(AX51=0,AW51,(VLOOKUP($AW51,$AQ$30:$AT$34,2,0)-AV50)/AU51*AW50+(AV51-VLOOKUP($AW51,$AQ$30:$AT$34,2,0))/AU51*AW51))</f>
        <v>0.27</v>
      </c>
      <c r="AZ51" s="36">
        <f t="shared" ca="1" si="123"/>
        <v>-12574.08</v>
      </c>
      <c r="BA51" s="36">
        <f ca="1">(AZ51+AV7)</f>
        <v>-9258.380000000001</v>
      </c>
      <c r="BB51" s="44">
        <f t="shared" ca="1" si="118"/>
        <v>0.72241</v>
      </c>
      <c r="BN51" s="35">
        <v>49</v>
      </c>
      <c r="BO51" s="50">
        <v>24.5</v>
      </c>
      <c r="BP51" s="67" t="s">
        <v>0</v>
      </c>
    </row>
    <row r="52" spans="24:68" ht="39.950000000000003" hidden="1" customHeight="1" x14ac:dyDescent="0.25">
      <c r="X52" s="42" t="s">
        <v>9</v>
      </c>
      <c r="Y52" s="43">
        <v>0</v>
      </c>
      <c r="AM52" s="36">
        <f ca="1">(BB8*0.00759*-1)</f>
        <v>-218.46691026024868</v>
      </c>
      <c r="AN52" s="36">
        <f ca="1">(AZ8)</f>
        <v>59589.019138372685</v>
      </c>
      <c r="AO52" s="36">
        <f>(AJ8+AP8)</f>
        <v>3160</v>
      </c>
      <c r="AP52" s="36">
        <f ca="1">IF(AN52-AO52&gt;=AU22*7.5,AU22*7.5,AN52-AO52)</f>
        <v>56429.019138372685</v>
      </c>
      <c r="AQ52" s="36">
        <f t="shared" ca="1" si="119"/>
        <v>-7900.0626793721767</v>
      </c>
      <c r="AR52" s="36">
        <f t="shared" ca="1" si="120"/>
        <v>-564.29019138372689</v>
      </c>
      <c r="AS52" s="36">
        <f ca="1">(AZ8+AQ52+AR52)</f>
        <v>51124.666267616783</v>
      </c>
      <c r="AT52" s="36">
        <f>(AO22+AP8+AT8+AT22)</f>
        <v>4554</v>
      </c>
      <c r="AU52" s="36">
        <f t="shared" ca="1" si="121"/>
        <v>46570.666267616783</v>
      </c>
      <c r="AV52" s="36">
        <f ca="1">SUM($AU$45:AU52)</f>
        <v>432050.91360195994</v>
      </c>
      <c r="AW52" s="63">
        <f ca="1">IF(AV52&lt;=$AS$30,$AQ$30,
IF(AV52&gt;$AS$32,
IF(AV52&gt;$AS$33,$AQ$34,$AQ$33),
IF(AV52&lt;$AS$31,$AQ$31,$AQ$32)))</f>
        <v>0.27</v>
      </c>
      <c r="AX52" s="42">
        <f t="shared" ca="1" si="122"/>
        <v>0</v>
      </c>
      <c r="AY52" s="44">
        <f ca="1">(IF(AX52=0,AW52,(VLOOKUP($AW52,$AQ$30:$AT$34,2,0)-AV51)/AU52*AW51+(AV52-VLOOKUP($AW52,$AQ$30:$AT$34,2,0))/AU52*AW52))</f>
        <v>0.27</v>
      </c>
      <c r="AZ52" s="36">
        <f t="shared" ca="1" si="123"/>
        <v>-12574.08</v>
      </c>
      <c r="BA52" s="36">
        <f ca="1">(AZ52+AV8)</f>
        <v>-8316.51</v>
      </c>
      <c r="BB52" s="44">
        <f t="shared" ca="1" si="118"/>
        <v>0.72241</v>
      </c>
      <c r="BN52" s="35">
        <v>50</v>
      </c>
      <c r="BO52" s="50">
        <v>25</v>
      </c>
      <c r="BP52" s="67" t="s">
        <v>0</v>
      </c>
    </row>
    <row r="53" spans="24:68" ht="39.950000000000003" hidden="1" customHeight="1" x14ac:dyDescent="0.25">
      <c r="X53" s="42" t="s">
        <v>38</v>
      </c>
      <c r="Y53" s="43">
        <v>2825.79</v>
      </c>
      <c r="AM53" s="36">
        <f ca="1">(BB9*0.00759*-1)</f>
        <v>-564.57091026024875</v>
      </c>
      <c r="AN53" s="36">
        <f ca="1">(AZ9)</f>
        <v>105189.01913837269</v>
      </c>
      <c r="AO53" s="36">
        <f>(AJ9+AP9)</f>
        <v>3160</v>
      </c>
      <c r="AP53" s="36">
        <f ca="1">IF(AN53-AO53&gt;=AU23*7.5,AU23*7.5,AN53-AO53)</f>
        <v>102029.01913837269</v>
      </c>
      <c r="AQ53" s="36">
        <f t="shared" ca="1" si="119"/>
        <v>-14284.062679372179</v>
      </c>
      <c r="AR53" s="36">
        <f t="shared" ca="1" si="120"/>
        <v>-1020.2901913837269</v>
      </c>
      <c r="AS53" s="36">
        <f ca="1">(AZ9+AQ53+AR53)</f>
        <v>89884.666267616791</v>
      </c>
      <c r="AT53" s="36">
        <f>(AO23+AP9+AT9+AT23)</f>
        <v>4554</v>
      </c>
      <c r="AU53" s="36">
        <f t="shared" ca="1" si="121"/>
        <v>85330.666267616791</v>
      </c>
      <c r="AV53" s="36">
        <f ca="1">SUM($AU$45:AU53)</f>
        <v>517381.57986957673</v>
      </c>
      <c r="AW53" s="63">
        <f ca="1">IF(AV53&lt;=$AS$30,$AQ$30,
IF(AV53&gt;$AS$32,
IF(AV53&gt;$AS$33,$AQ$34,$AQ$33),
IF(AV53&lt;$AS$31,$AQ$31,$AQ$32)))</f>
        <v>0.27</v>
      </c>
      <c r="AX53" s="42">
        <f t="shared" ca="1" si="122"/>
        <v>0</v>
      </c>
      <c r="AY53" s="44">
        <f ca="1">(IF(AX53=0,AW53,(VLOOKUP($AW53,$AQ$30:$AT$34,2,0)-AV52)/AU53*AW52+(AV53-VLOOKUP($AW53,$AQ$30:$AT$34,2,0))/AU53*AW53))</f>
        <v>0.27</v>
      </c>
      <c r="AZ53" s="36">
        <f t="shared" ca="1" si="123"/>
        <v>-23039.279999999999</v>
      </c>
      <c r="BA53" s="36">
        <f ca="1">(AZ53+AV9)</f>
        <v>-18618.34</v>
      </c>
      <c r="BB53" s="44">
        <f t="shared" ca="1" si="118"/>
        <v>0.72241</v>
      </c>
      <c r="BN53" s="35">
        <v>51</v>
      </c>
      <c r="BO53" s="50">
        <v>25.5</v>
      </c>
      <c r="BP53" s="67" t="s">
        <v>0</v>
      </c>
    </row>
    <row r="54" spans="24:68" ht="39.950000000000003" hidden="1" customHeight="1" x14ac:dyDescent="0.25">
      <c r="X54" s="42" t="s">
        <v>35</v>
      </c>
      <c r="Y54" s="43">
        <v>0</v>
      </c>
      <c r="AM54" s="36">
        <f ca="1">(BB10*0.00759*-1)</f>
        <v>-218.46691026024868</v>
      </c>
      <c r="AN54" s="36">
        <f ca="1">(AZ10)</f>
        <v>59589.019138372685</v>
      </c>
      <c r="AO54" s="36">
        <f>(AJ10+AP10)</f>
        <v>3160</v>
      </c>
      <c r="AP54" s="36">
        <f ca="1">IF(AN54-AO54&gt;=AU24*7.5,AU24*7.5,AN54-AO54)</f>
        <v>56429.019138372685</v>
      </c>
      <c r="AQ54" s="36">
        <f t="shared" ca="1" si="119"/>
        <v>-7900.0626793721767</v>
      </c>
      <c r="AR54" s="36">
        <f t="shared" ca="1" si="120"/>
        <v>-564.29019138372689</v>
      </c>
      <c r="AS54" s="36">
        <f ca="1">(AZ10+AQ54+AR54)</f>
        <v>51124.666267616783</v>
      </c>
      <c r="AT54" s="36">
        <f>(AO24+AP10+AT10+AT24)</f>
        <v>4554</v>
      </c>
      <c r="AU54" s="36">
        <f t="shared" ca="1" si="121"/>
        <v>46570.666267616783</v>
      </c>
      <c r="AV54" s="36">
        <f ca="1">SUM($AU$45:AU54)</f>
        <v>563952.24613719352</v>
      </c>
      <c r="AW54" s="63">
        <f ca="1">IF(AV54&lt;=$AS$30,$AQ$30,
IF(AV54&gt;$AS$32,
IF(AV54&gt;$AS$33,$AQ$34,$AQ$33),
IF(AV54&lt;$AS$31,$AQ$31,$AQ$32)))</f>
        <v>0.27</v>
      </c>
      <c r="AX54" s="42">
        <f t="shared" ca="1" si="122"/>
        <v>0</v>
      </c>
      <c r="AY54" s="44">
        <f ca="1">(IF(AX54=0,AW54,(VLOOKUP($AW54,$AQ$30:$AT$34,2,0)-AV53)/AU54*AW53+(AV54-VLOOKUP($AW54,$AQ$30:$AT$34,2,0))/AU54*AW54))</f>
        <v>0.27</v>
      </c>
      <c r="AZ54" s="36">
        <f t="shared" ca="1" si="123"/>
        <v>-12574.08</v>
      </c>
      <c r="BA54" s="36">
        <f ca="1">(AZ54+AV10)</f>
        <v>-8153.14</v>
      </c>
      <c r="BB54" s="44">
        <f t="shared" ca="1" si="118"/>
        <v>0.72241</v>
      </c>
      <c r="BN54" s="35">
        <v>52</v>
      </c>
      <c r="BO54" s="50">
        <v>26</v>
      </c>
      <c r="BP54" s="67" t="s">
        <v>0</v>
      </c>
    </row>
    <row r="55" spans="24:68" ht="39.950000000000003" hidden="1" customHeight="1" x14ac:dyDescent="0.25">
      <c r="AM55" s="36">
        <f ca="1">(BB11*0.00759*-1)</f>
        <v>-218.46691026024868</v>
      </c>
      <c r="AN55" s="36">
        <f ca="1">(AZ11)</f>
        <v>59589.019138372685</v>
      </c>
      <c r="AO55" s="36">
        <f>(AJ11+AP11)</f>
        <v>3160</v>
      </c>
      <c r="AP55" s="36">
        <f ca="1">IF(AN55-AO55&gt;=AU25*7.5,AU25*7.5,AN55-AO55)</f>
        <v>56429.019138372685</v>
      </c>
      <c r="AQ55" s="36">
        <f t="shared" ca="1" si="119"/>
        <v>-7900.0626793721767</v>
      </c>
      <c r="AR55" s="36">
        <f t="shared" ca="1" si="120"/>
        <v>-564.29019138372689</v>
      </c>
      <c r="AS55" s="36">
        <f ca="1">(AZ11+AQ55+AR55)</f>
        <v>51124.666267616783</v>
      </c>
      <c r="AT55" s="36">
        <f>(AO25+AP11+AT11+AT25)</f>
        <v>4554</v>
      </c>
      <c r="AU55" s="36">
        <f t="shared" ca="1" si="121"/>
        <v>46570.666267616783</v>
      </c>
      <c r="AV55" s="36">
        <f ca="1">SUM($AU$45:AU55)</f>
        <v>610522.91240481031</v>
      </c>
      <c r="AW55" s="63">
        <f ca="1">IF(AV55&lt;=$AS$30,$AQ$30,
IF(AV55&gt;$AS$32,
IF(AV55&gt;$AS$33,$AQ$34,$AQ$33),
IF(AV55&lt;$AS$31,$AQ$31,$AQ$32)))</f>
        <v>0.27</v>
      </c>
      <c r="AX55" s="42">
        <f t="shared" ca="1" si="122"/>
        <v>0</v>
      </c>
      <c r="AY55" s="44">
        <f ca="1">(IF(AX55=0,AW55,(VLOOKUP($AW55,$AQ$30:$AT$34,2,0)-AV54)/AU55*AW54+(AV55-VLOOKUP($AW55,$AQ$30:$AT$34,2,0))/AU55*AW55))</f>
        <v>0.27</v>
      </c>
      <c r="AZ55" s="36">
        <f t="shared" ca="1" si="123"/>
        <v>-12574.08</v>
      </c>
      <c r="BA55" s="36">
        <f ca="1">(AZ55+AV11)</f>
        <v>-8153.14</v>
      </c>
      <c r="BB55" s="44">
        <f t="shared" ca="1" si="118"/>
        <v>0.72241</v>
      </c>
      <c r="BN55" s="35">
        <v>53</v>
      </c>
      <c r="BO55" s="50">
        <v>26.5</v>
      </c>
      <c r="BP55" s="67" t="s">
        <v>0</v>
      </c>
    </row>
    <row r="56" spans="24:68" ht="39.950000000000003" hidden="1" customHeight="1" x14ac:dyDescent="0.25">
      <c r="AM56" s="36">
        <f ca="1">(BB12*0.00759*-1)</f>
        <v>-564.57091026024875</v>
      </c>
      <c r="AN56" s="36">
        <f ca="1">(AZ12)</f>
        <v>105189.01913837269</v>
      </c>
      <c r="AO56" s="36">
        <f>(AJ12+AP12)</f>
        <v>3160</v>
      </c>
      <c r="AP56" s="36">
        <f ca="1">IF(AN56-AO56&gt;=AU26*7.5,AU26*7.5,AN56-AO56)</f>
        <v>102029.01913837269</v>
      </c>
      <c r="AQ56" s="36">
        <f t="shared" ca="1" si="119"/>
        <v>-14284.062679372179</v>
      </c>
      <c r="AR56" s="36">
        <f t="shared" ca="1" si="120"/>
        <v>-1020.2901913837269</v>
      </c>
      <c r="AS56" s="36">
        <f ca="1">(AZ12+AQ56+AR56)</f>
        <v>89884.666267616791</v>
      </c>
      <c r="AT56" s="36">
        <f>(AO26+AP12+AT12+AT26)</f>
        <v>4554</v>
      </c>
      <c r="AU56" s="36">
        <f t="shared" ca="1" si="121"/>
        <v>85330.666267616791</v>
      </c>
      <c r="AV56" s="36">
        <f ca="1">SUM($AU$45:AU56)</f>
        <v>695853.5786724271</v>
      </c>
      <c r="AW56" s="63">
        <f ca="1">IF(AV56&lt;=$AS$30,$AQ$30,
IF(AV56&gt;$AS$32,
IF(AV56&gt;$AS$33,$AQ$34,$AQ$33),
IF(AV56&lt;$AS$31,$AQ$31,$AQ$32)))</f>
        <v>0.27</v>
      </c>
      <c r="AX56" s="42">
        <f t="shared" ca="1" si="122"/>
        <v>0</v>
      </c>
      <c r="AY56" s="44">
        <f ca="1">(IF(AX56=0,AW56,(VLOOKUP($AW56,$AQ$30:$AT$34,2,0)-AV55)/AU56*AW55+(AV56-VLOOKUP($AW56,$AQ$30:$AT$34,2,0))/AU56*AW56))</f>
        <v>0.27</v>
      </c>
      <c r="AZ56" s="36">
        <f t="shared" ca="1" si="123"/>
        <v>-23039.279999999999</v>
      </c>
      <c r="BA56" s="36">
        <f ca="1">(AZ56+AV12)</f>
        <v>-18618.34</v>
      </c>
      <c r="BB56" s="44">
        <f t="shared" ca="1" si="118"/>
        <v>0.72241</v>
      </c>
      <c r="BN56" s="35">
        <v>54</v>
      </c>
      <c r="BO56" s="50">
        <v>27</v>
      </c>
      <c r="BP56" s="67" t="s">
        <v>0</v>
      </c>
    </row>
    <row r="57" spans="24:68" ht="39.950000000000003" hidden="1" customHeight="1" x14ac:dyDescent="0.25">
      <c r="AM57" s="36">
        <f t="shared" ref="AM57" ca="1" si="124">(AM45+AM46+AM47+AM48+AM49+AM50+AM51+AM52+AM53+AM54+AM55+AM56)</f>
        <v>-3844.9821919102615</v>
      </c>
      <c r="AN57" s="36">
        <f t="shared" ref="AN57" ca="1" si="125">(AN45+AN46+AN47+AN48+AN49+AN50+AN51+AN52+AN53+AN54+AN55+AN56)</f>
        <v>876251.26902638504</v>
      </c>
      <c r="AO57" s="36">
        <f t="shared" ref="AO57" si="126">(AO45+AO46+AO47+AO48+AO49+AO50+AO51+AO52+AO53+AO54+AO55+AO56)</f>
        <v>37920</v>
      </c>
      <c r="AP57" s="36">
        <f t="shared" ref="AP57" ca="1" si="127">(AP45+AP46+AP47+AP48+AP49+AP50+AP51+AP52+AP53+AP54+AP55+AP56)</f>
        <v>838331.26902638504</v>
      </c>
      <c r="AQ57" s="36">
        <f t="shared" ref="AQ57" ca="1" si="128">(AQ45+AQ46+AQ47+AQ48+AQ49+AQ50+AQ51+AQ52+AQ53+AQ54+AQ55+AQ56)</f>
        <v>-117366.37766369389</v>
      </c>
      <c r="AR57" s="36">
        <f t="shared" ref="AR57" ca="1" si="129">(AR45+AR46+AR47+AR48+AR49+AR50+AR51+AR52+AR53+AR54+AR55+AR56)</f>
        <v>-8383.3126902638487</v>
      </c>
      <c r="AS57" s="36">
        <f t="shared" ref="AS57:AU57" ca="1" si="130">(AS45+AS46+AS47+AS48+AS49+AS50+AS51+AS52+AS53+AS54+AS55+AS56)</f>
        <v>750501.5786724271</v>
      </c>
      <c r="AT57" s="36">
        <f t="shared" ref="AT57" si="131">(AT45+AT46+AT47+AT48+AT49+AT50+AT51+AT52+AT53+AT54+AT55+AT56)</f>
        <v>54648</v>
      </c>
      <c r="AU57" s="36">
        <f t="shared" ca="1" si="130"/>
        <v>695853.5786724271</v>
      </c>
      <c r="AV57" s="52" t="s">
        <v>0</v>
      </c>
      <c r="AW57" s="35" t="s">
        <v>0</v>
      </c>
      <c r="AX57" s="35" t="s">
        <v>0</v>
      </c>
      <c r="AY57" s="48">
        <f t="shared" ref="AY57:AZ57" ca="1" si="132">(AY45+AY46+AY47+AY48+AY49+AY50+AY51+AY52+AY53+AY54+AY55+AY56)</f>
        <v>2.6792091377927969</v>
      </c>
      <c r="AZ57" s="36">
        <f t="shared" ca="1" si="132"/>
        <v>-156880.46</v>
      </c>
      <c r="BA57" s="36">
        <f t="shared" ref="BA57" ca="1" si="133">(BA45+BA46+BA47+BA48+BA49+BA50+BA51+BA52+BA53+BA54+BA55+BA56)</f>
        <v>-111729.23000000001</v>
      </c>
      <c r="BB57" s="35" t="s">
        <v>0</v>
      </c>
      <c r="BN57" s="35">
        <v>55</v>
      </c>
      <c r="BO57" s="50">
        <v>27.5</v>
      </c>
      <c r="BP57" s="67" t="s">
        <v>0</v>
      </c>
    </row>
    <row r="58" spans="24:68" ht="39.950000000000003" hidden="1" customHeight="1" x14ac:dyDescent="0.25">
      <c r="AM58" s="36">
        <f t="shared" ref="AM58" ca="1" si="134">(AM57/12)</f>
        <v>-320.41518265918847</v>
      </c>
      <c r="AN58" s="36">
        <f t="shared" ref="AN58" ca="1" si="135">(AN57/12)</f>
        <v>73020.939085532082</v>
      </c>
      <c r="AO58" s="36">
        <f t="shared" ref="AO58" si="136">(AO57/12)</f>
        <v>3160</v>
      </c>
      <c r="AP58" s="36">
        <f t="shared" ref="AP58" ca="1" si="137">(AP57/12)</f>
        <v>69860.939085532082</v>
      </c>
      <c r="AQ58" s="36">
        <f t="shared" ref="AQ58" ca="1" si="138">(AQ57/12)</f>
        <v>-9780.5314719744911</v>
      </c>
      <c r="AR58" s="36">
        <f t="shared" ref="AR58" ca="1" si="139">(AR57/12)</f>
        <v>-698.60939085532073</v>
      </c>
      <c r="AS58" s="36">
        <f t="shared" ref="AS58:AU58" ca="1" si="140">(AS57/12)</f>
        <v>62541.798222702258</v>
      </c>
      <c r="AT58" s="36">
        <f t="shared" ref="AT58" si="141">(AT57/12)</f>
        <v>4554</v>
      </c>
      <c r="AU58" s="36">
        <f t="shared" ca="1" si="140"/>
        <v>57987.798222702258</v>
      </c>
      <c r="AV58" s="52" t="s">
        <v>0</v>
      </c>
      <c r="AW58" s="52" t="s">
        <v>0</v>
      </c>
      <c r="AX58" s="52" t="s">
        <v>0</v>
      </c>
      <c r="AY58" s="48">
        <f t="shared" ref="AY58:AZ58" ca="1" si="142">(AY57/12)</f>
        <v>0.22326742814939973</v>
      </c>
      <c r="AZ58" s="36">
        <f t="shared" ca="1" si="142"/>
        <v>-13073.371666666666</v>
      </c>
      <c r="BA58" s="36">
        <f t="shared" ref="BA58" ca="1" si="143">(BA57/12)</f>
        <v>-9310.7691666666669</v>
      </c>
      <c r="BB58" s="52" t="s">
        <v>0</v>
      </c>
      <c r="BN58" s="35">
        <v>56</v>
      </c>
      <c r="BO58" s="50">
        <v>28</v>
      </c>
      <c r="BP58" s="67" t="s">
        <v>0</v>
      </c>
    </row>
    <row r="59" spans="24:68" ht="39.950000000000003" hidden="1" customHeight="1" x14ac:dyDescent="0.25">
      <c r="BN59" s="35">
        <v>57</v>
      </c>
      <c r="BO59" s="50">
        <v>28.5</v>
      </c>
      <c r="BP59" s="67" t="s">
        <v>0</v>
      </c>
    </row>
    <row r="60" spans="24:68" ht="39.950000000000003" hidden="1" customHeight="1" x14ac:dyDescent="0.25">
      <c r="BN60" s="35">
        <v>58</v>
      </c>
      <c r="BO60" s="50">
        <v>29</v>
      </c>
      <c r="BP60" s="67" t="s">
        <v>0</v>
      </c>
    </row>
    <row r="61" spans="24:68" ht="39.950000000000003" hidden="1" customHeight="1" x14ac:dyDescent="0.25">
      <c r="BN61" s="35">
        <v>59</v>
      </c>
      <c r="BO61" s="50">
        <v>29.5</v>
      </c>
      <c r="BP61" s="67" t="s">
        <v>0</v>
      </c>
    </row>
    <row r="62" spans="24:68" ht="39.950000000000003" hidden="1" customHeight="1" x14ac:dyDescent="0.25">
      <c r="BN62" s="35">
        <v>60</v>
      </c>
      <c r="BO62" s="50">
        <v>30</v>
      </c>
      <c r="BP62" s="67" t="s">
        <v>0</v>
      </c>
    </row>
    <row r="63" spans="24:68" ht="39.950000000000003" hidden="1" customHeight="1" x14ac:dyDescent="0.25">
      <c r="BN63" s="35">
        <v>61</v>
      </c>
      <c r="BO63" s="50">
        <v>30.5</v>
      </c>
      <c r="BP63" s="67" t="s">
        <v>0</v>
      </c>
    </row>
    <row r="64" spans="24:68" ht="39.950000000000003" hidden="1" customHeight="1" x14ac:dyDescent="0.25">
      <c r="BN64" s="35">
        <v>62</v>
      </c>
      <c r="BO64" s="50">
        <v>31</v>
      </c>
      <c r="BP64" s="67" t="s">
        <v>0</v>
      </c>
    </row>
    <row r="65" spans="66:68" ht="39.950000000000003" hidden="1" customHeight="1" x14ac:dyDescent="0.25">
      <c r="BN65" s="35">
        <v>63</v>
      </c>
      <c r="BO65" s="50">
        <v>31.5</v>
      </c>
      <c r="BP65" s="67" t="s">
        <v>0</v>
      </c>
    </row>
    <row r="66" spans="66:68" ht="39.950000000000003" hidden="1" customHeight="1" x14ac:dyDescent="0.25">
      <c r="BN66" s="35">
        <v>64</v>
      </c>
      <c r="BO66" s="50">
        <v>32</v>
      </c>
      <c r="BP66" s="67" t="s">
        <v>0</v>
      </c>
    </row>
    <row r="67" spans="66:68" ht="39.950000000000003" hidden="1" customHeight="1" x14ac:dyDescent="0.25">
      <c r="BN67" s="35">
        <v>65</v>
      </c>
      <c r="BO67" s="50">
        <v>32.5</v>
      </c>
      <c r="BP67" s="67" t="s">
        <v>0</v>
      </c>
    </row>
    <row r="68" spans="66:68" ht="39.950000000000003" hidden="1" customHeight="1" x14ac:dyDescent="0.25">
      <c r="BN68" s="35">
        <v>66</v>
      </c>
      <c r="BO68" s="50">
        <v>33</v>
      </c>
      <c r="BP68" s="67" t="s">
        <v>0</v>
      </c>
    </row>
    <row r="69" spans="66:68" ht="39.950000000000003" hidden="1" customHeight="1" x14ac:dyDescent="0.25">
      <c r="BN69" s="35">
        <v>67</v>
      </c>
      <c r="BO69" s="50">
        <v>33.5</v>
      </c>
      <c r="BP69" s="67" t="s">
        <v>0</v>
      </c>
    </row>
    <row r="70" spans="66:68" ht="39.950000000000003" hidden="1" customHeight="1" x14ac:dyDescent="0.25">
      <c r="BN70" s="35">
        <v>68</v>
      </c>
      <c r="BO70" s="50">
        <v>34</v>
      </c>
      <c r="BP70" s="67" t="s">
        <v>0</v>
      </c>
    </row>
    <row r="71" spans="66:68" ht="39.950000000000003" hidden="1" customHeight="1" x14ac:dyDescent="0.25">
      <c r="BN71" s="35">
        <v>69</v>
      </c>
      <c r="BO71" s="50">
        <v>34.5</v>
      </c>
      <c r="BP71" s="67" t="s">
        <v>0</v>
      </c>
    </row>
    <row r="72" spans="66:68" ht="39.950000000000003" hidden="1" customHeight="1" x14ac:dyDescent="0.25">
      <c r="BN72" s="35">
        <v>70</v>
      </c>
      <c r="BO72" s="50">
        <v>35</v>
      </c>
      <c r="BP72" s="67" t="s">
        <v>0</v>
      </c>
    </row>
    <row r="73" spans="66:68" ht="39.950000000000003" hidden="1" customHeight="1" x14ac:dyDescent="0.25">
      <c r="BN73" s="35">
        <v>71</v>
      </c>
      <c r="BO73" s="50">
        <v>35.5</v>
      </c>
      <c r="BP73" s="67" t="s">
        <v>0</v>
      </c>
    </row>
    <row r="74" spans="66:68" ht="39.950000000000003" hidden="1" customHeight="1" x14ac:dyDescent="0.25">
      <c r="BN74" s="35">
        <v>72</v>
      </c>
      <c r="BO74" s="50">
        <v>36</v>
      </c>
      <c r="BP74" s="67" t="s">
        <v>0</v>
      </c>
    </row>
    <row r="75" spans="66:68" ht="39.950000000000003" hidden="1" customHeight="1" x14ac:dyDescent="0.25">
      <c r="BN75" s="35">
        <v>73</v>
      </c>
      <c r="BO75" s="50">
        <v>36.5</v>
      </c>
      <c r="BP75" s="67" t="s">
        <v>0</v>
      </c>
    </row>
    <row r="76" spans="66:68" ht="39.950000000000003" hidden="1" customHeight="1" x14ac:dyDescent="0.25">
      <c r="BN76" s="35">
        <v>74</v>
      </c>
      <c r="BO76" s="50">
        <v>37</v>
      </c>
      <c r="BP76" s="67" t="s">
        <v>0</v>
      </c>
    </row>
    <row r="77" spans="66:68" ht="39.950000000000003" hidden="1" customHeight="1" x14ac:dyDescent="0.25">
      <c r="BN77" s="35">
        <v>75</v>
      </c>
      <c r="BO77" s="50">
        <v>37.5</v>
      </c>
      <c r="BP77" s="67" t="s">
        <v>0</v>
      </c>
    </row>
    <row r="78" spans="66:68" ht="39.950000000000003" hidden="1" customHeight="1" x14ac:dyDescent="0.25">
      <c r="BN78" s="35">
        <v>76</v>
      </c>
      <c r="BO78" s="50">
        <v>38</v>
      </c>
      <c r="BP78" s="67" t="s">
        <v>0</v>
      </c>
    </row>
    <row r="79" spans="66:68" ht="39.950000000000003" hidden="1" customHeight="1" x14ac:dyDescent="0.25">
      <c r="BN79" s="35">
        <v>77</v>
      </c>
      <c r="BO79" s="50">
        <v>38.5</v>
      </c>
      <c r="BP79" s="67" t="s">
        <v>0</v>
      </c>
    </row>
    <row r="80" spans="66:68" ht="39.950000000000003" hidden="1" customHeight="1" x14ac:dyDescent="0.25">
      <c r="BN80" s="35">
        <v>78</v>
      </c>
      <c r="BO80" s="50">
        <v>39</v>
      </c>
      <c r="BP80" s="67" t="s">
        <v>0</v>
      </c>
    </row>
    <row r="81" spans="66:68" ht="39.950000000000003" hidden="1" customHeight="1" x14ac:dyDescent="0.25">
      <c r="BN81" s="35">
        <v>79</v>
      </c>
      <c r="BO81" s="50">
        <v>39.5</v>
      </c>
      <c r="BP81" s="67" t="s">
        <v>0</v>
      </c>
    </row>
    <row r="82" spans="66:68" ht="39.950000000000003" hidden="1" customHeight="1" x14ac:dyDescent="0.25">
      <c r="BN82" s="35">
        <v>80</v>
      </c>
      <c r="BO82" s="50">
        <v>40</v>
      </c>
      <c r="BP82" s="67" t="s">
        <v>0</v>
      </c>
    </row>
    <row r="83" spans="66:68" ht="39.950000000000003" hidden="1" customHeight="1" x14ac:dyDescent="0.25">
      <c r="BN83" s="35">
        <v>81</v>
      </c>
      <c r="BO83" s="50">
        <v>40.5</v>
      </c>
      <c r="BP83" s="67" t="s">
        <v>0</v>
      </c>
    </row>
    <row r="84" spans="66:68" ht="39.950000000000003" hidden="1" customHeight="1" x14ac:dyDescent="0.25">
      <c r="BN84" s="35">
        <v>82</v>
      </c>
      <c r="BO84" s="50">
        <v>41</v>
      </c>
      <c r="BP84" s="67" t="s">
        <v>0</v>
      </c>
    </row>
    <row r="85" spans="66:68" ht="39.950000000000003" hidden="1" customHeight="1" x14ac:dyDescent="0.25">
      <c r="BN85" s="35">
        <v>83</v>
      </c>
      <c r="BO85" s="50">
        <v>41.5</v>
      </c>
      <c r="BP85" s="67" t="s">
        <v>0</v>
      </c>
    </row>
    <row r="86" spans="66:68" ht="39.950000000000003" hidden="1" customHeight="1" x14ac:dyDescent="0.25">
      <c r="BN86" s="35">
        <v>84</v>
      </c>
      <c r="BO86" s="50">
        <v>42</v>
      </c>
      <c r="BP86" s="67" t="s">
        <v>0</v>
      </c>
    </row>
    <row r="87" spans="66:68" ht="39.950000000000003" hidden="1" customHeight="1" x14ac:dyDescent="0.25">
      <c r="BN87" s="35">
        <v>85</v>
      </c>
      <c r="BO87" s="50">
        <v>42.5</v>
      </c>
      <c r="BP87" s="67" t="s">
        <v>0</v>
      </c>
    </row>
    <row r="88" spans="66:68" ht="39.950000000000003" hidden="1" customHeight="1" x14ac:dyDescent="0.25">
      <c r="BN88" s="35">
        <v>86</v>
      </c>
      <c r="BO88" s="50">
        <v>43</v>
      </c>
      <c r="BP88" s="67" t="s">
        <v>0</v>
      </c>
    </row>
    <row r="89" spans="66:68" ht="39.950000000000003" hidden="1" customHeight="1" x14ac:dyDescent="0.25">
      <c r="BN89" s="35">
        <v>87</v>
      </c>
      <c r="BO89" s="50">
        <v>43.5</v>
      </c>
      <c r="BP89" s="67" t="s">
        <v>0</v>
      </c>
    </row>
    <row r="90" spans="66:68" ht="39.950000000000003" hidden="1" customHeight="1" x14ac:dyDescent="0.25">
      <c r="BN90" s="35">
        <v>88</v>
      </c>
      <c r="BO90" s="50">
        <v>44</v>
      </c>
      <c r="BP90" s="67" t="s">
        <v>0</v>
      </c>
    </row>
    <row r="91" spans="66:68" ht="39.950000000000003" hidden="1" customHeight="1" x14ac:dyDescent="0.25">
      <c r="BN91" s="35">
        <v>89</v>
      </c>
      <c r="BO91" s="50">
        <v>44.5</v>
      </c>
      <c r="BP91" s="67" t="s">
        <v>0</v>
      </c>
    </row>
    <row r="92" spans="66:68" ht="39.950000000000003" hidden="1" customHeight="1" x14ac:dyDescent="0.25">
      <c r="BN92" s="35">
        <v>90</v>
      </c>
      <c r="BO92" s="50">
        <v>45</v>
      </c>
      <c r="BP92" s="67" t="s">
        <v>0</v>
      </c>
    </row>
    <row r="93" spans="66:68" ht="39.950000000000003" hidden="1" customHeight="1" x14ac:dyDescent="0.25">
      <c r="BN93" s="35">
        <v>91</v>
      </c>
      <c r="BO93" s="50">
        <v>45.5</v>
      </c>
      <c r="BP93" s="67" t="s">
        <v>0</v>
      </c>
    </row>
    <row r="94" spans="66:68" ht="39.950000000000003" hidden="1" customHeight="1" x14ac:dyDescent="0.25">
      <c r="BN94" s="35">
        <v>92</v>
      </c>
      <c r="BO94" s="50">
        <v>46</v>
      </c>
      <c r="BP94" s="67" t="s">
        <v>0</v>
      </c>
    </row>
    <row r="95" spans="66:68" ht="39.950000000000003" hidden="1" customHeight="1" x14ac:dyDescent="0.25">
      <c r="BN95" s="35">
        <v>93</v>
      </c>
      <c r="BO95" s="50">
        <v>46.5</v>
      </c>
      <c r="BP95" s="67" t="s">
        <v>0</v>
      </c>
    </row>
    <row r="96" spans="66:68" ht="39.950000000000003" hidden="1" customHeight="1" x14ac:dyDescent="0.25">
      <c r="BN96" s="35">
        <v>94</v>
      </c>
      <c r="BO96" s="50">
        <v>47</v>
      </c>
      <c r="BP96" s="67" t="s">
        <v>0</v>
      </c>
    </row>
    <row r="97" spans="66:68" ht="39.950000000000003" hidden="1" customHeight="1" x14ac:dyDescent="0.25">
      <c r="BN97" s="35">
        <v>95</v>
      </c>
      <c r="BO97" s="50">
        <v>47.5</v>
      </c>
      <c r="BP97" s="67" t="s">
        <v>0</v>
      </c>
    </row>
    <row r="98" spans="66:68" ht="39.950000000000003" hidden="1" customHeight="1" x14ac:dyDescent="0.25">
      <c r="BN98" s="35">
        <v>96</v>
      </c>
      <c r="BO98" s="50">
        <v>48</v>
      </c>
      <c r="BP98" s="67" t="s">
        <v>0</v>
      </c>
    </row>
    <row r="99" spans="66:68" ht="39.950000000000003" hidden="1" customHeight="1" x14ac:dyDescent="0.25">
      <c r="BN99" s="35">
        <v>97</v>
      </c>
      <c r="BO99" s="50">
        <v>48.5</v>
      </c>
      <c r="BP99" s="67" t="s">
        <v>0</v>
      </c>
    </row>
    <row r="100" spans="66:68" ht="39.950000000000003" hidden="1" customHeight="1" x14ac:dyDescent="0.25">
      <c r="BN100" s="35">
        <v>98</v>
      </c>
      <c r="BO100" s="50">
        <v>49</v>
      </c>
      <c r="BP100" s="67" t="s">
        <v>0</v>
      </c>
    </row>
    <row r="101" spans="66:68" ht="39.950000000000003" hidden="1" customHeight="1" x14ac:dyDescent="0.25">
      <c r="BN101" s="35">
        <v>99</v>
      </c>
      <c r="BO101" s="50">
        <v>49.5</v>
      </c>
      <c r="BP101" s="67" t="s">
        <v>0</v>
      </c>
    </row>
    <row r="102" spans="66:68" ht="39.950000000000003" hidden="1" customHeight="1" x14ac:dyDescent="0.25">
      <c r="BN102" s="35">
        <v>100</v>
      </c>
      <c r="BO102" s="50">
        <v>50</v>
      </c>
      <c r="BP102" s="67" t="s">
        <v>0</v>
      </c>
    </row>
    <row r="103" spans="66:68" ht="39.950000000000003" hidden="1" customHeight="1" x14ac:dyDescent="0.25">
      <c r="BN103" s="35">
        <v>101</v>
      </c>
      <c r="BO103" s="50">
        <v>50.5</v>
      </c>
      <c r="BP103" s="67" t="s">
        <v>0</v>
      </c>
    </row>
    <row r="104" spans="66:68" ht="39.950000000000003" hidden="1" customHeight="1" x14ac:dyDescent="0.25">
      <c r="BN104" s="35">
        <v>102</v>
      </c>
      <c r="BO104" s="50">
        <v>51</v>
      </c>
      <c r="BP104" s="67" t="s">
        <v>0</v>
      </c>
    </row>
    <row r="105" spans="66:68" ht="39.950000000000003" hidden="1" customHeight="1" x14ac:dyDescent="0.25">
      <c r="BN105" s="35">
        <v>103</v>
      </c>
      <c r="BO105" s="50">
        <v>51.5</v>
      </c>
      <c r="BP105" s="67" t="s">
        <v>0</v>
      </c>
    </row>
    <row r="106" spans="66:68" ht="39.950000000000003" hidden="1" customHeight="1" x14ac:dyDescent="0.25">
      <c r="BN106" s="35">
        <v>104</v>
      </c>
      <c r="BO106" s="50">
        <v>52</v>
      </c>
      <c r="BP106" s="67" t="s">
        <v>0</v>
      </c>
    </row>
    <row r="107" spans="66:68" ht="39.950000000000003" hidden="1" customHeight="1" x14ac:dyDescent="0.25">
      <c r="BN107" s="35">
        <v>105</v>
      </c>
      <c r="BO107" s="50">
        <v>52.5</v>
      </c>
      <c r="BP107" s="67" t="s">
        <v>0</v>
      </c>
    </row>
    <row r="108" spans="66:68" ht="39.950000000000003" hidden="1" customHeight="1" x14ac:dyDescent="0.25">
      <c r="BN108" s="35">
        <v>106</v>
      </c>
      <c r="BO108" s="50">
        <v>53</v>
      </c>
      <c r="BP108" s="67" t="s">
        <v>0</v>
      </c>
    </row>
    <row r="109" spans="66:68" ht="39.950000000000003" hidden="1" customHeight="1" x14ac:dyDescent="0.25">
      <c r="BN109" s="35">
        <v>107</v>
      </c>
      <c r="BO109" s="50">
        <v>53.5</v>
      </c>
      <c r="BP109" s="67" t="s">
        <v>0</v>
      </c>
    </row>
    <row r="110" spans="66:68" ht="39.950000000000003" hidden="1" customHeight="1" x14ac:dyDescent="0.25">
      <c r="BN110" s="35">
        <v>108</v>
      </c>
      <c r="BO110" s="50">
        <v>54</v>
      </c>
      <c r="BP110" s="67" t="s">
        <v>0</v>
      </c>
    </row>
    <row r="111" spans="66:68" ht="39.950000000000003" hidden="1" customHeight="1" x14ac:dyDescent="0.25">
      <c r="BN111" s="35">
        <v>109</v>
      </c>
      <c r="BO111" s="50">
        <v>54.5</v>
      </c>
      <c r="BP111" s="67" t="s">
        <v>0</v>
      </c>
    </row>
    <row r="112" spans="66:68" ht="39.950000000000003" hidden="1" customHeight="1" x14ac:dyDescent="0.25">
      <c r="BN112" s="35">
        <v>110</v>
      </c>
      <c r="BO112" s="50">
        <v>55</v>
      </c>
      <c r="BP112" s="67" t="s">
        <v>0</v>
      </c>
    </row>
    <row r="113" spans="66:68" ht="39.950000000000003" hidden="1" customHeight="1" x14ac:dyDescent="0.25">
      <c r="BN113" s="35">
        <v>111</v>
      </c>
      <c r="BO113" s="50">
        <v>55.5</v>
      </c>
      <c r="BP113" s="67" t="s">
        <v>0</v>
      </c>
    </row>
    <row r="114" spans="66:68" ht="39.950000000000003" hidden="1" customHeight="1" x14ac:dyDescent="0.25">
      <c r="BN114" s="35">
        <v>112</v>
      </c>
      <c r="BO114" s="50">
        <v>56</v>
      </c>
      <c r="BP114" s="67" t="s">
        <v>0</v>
      </c>
    </row>
    <row r="115" spans="66:68" ht="39.950000000000003" hidden="1" customHeight="1" x14ac:dyDescent="0.25">
      <c r="BN115" s="35">
        <v>113</v>
      </c>
      <c r="BO115" s="50">
        <v>56.5</v>
      </c>
      <c r="BP115" s="67" t="s">
        <v>0</v>
      </c>
    </row>
    <row r="116" spans="66:68" ht="39.950000000000003" hidden="1" customHeight="1" x14ac:dyDescent="0.25">
      <c r="BN116" s="35">
        <v>114</v>
      </c>
      <c r="BO116" s="50">
        <v>57</v>
      </c>
      <c r="BP116" s="67" t="s">
        <v>0</v>
      </c>
    </row>
    <row r="117" spans="66:68" ht="39.950000000000003" hidden="1" customHeight="1" x14ac:dyDescent="0.25">
      <c r="BN117" s="35">
        <v>115</v>
      </c>
      <c r="BO117" s="50">
        <v>57.5</v>
      </c>
      <c r="BP117" s="67" t="s">
        <v>0</v>
      </c>
    </row>
    <row r="118" spans="66:68" ht="39.950000000000003" hidden="1" customHeight="1" x14ac:dyDescent="0.25">
      <c r="BN118" s="35">
        <v>116</v>
      </c>
      <c r="BO118" s="50">
        <v>58</v>
      </c>
      <c r="BP118" s="67" t="s">
        <v>0</v>
      </c>
    </row>
    <row r="119" spans="66:68" ht="39.950000000000003" hidden="1" customHeight="1" x14ac:dyDescent="0.25">
      <c r="BN119" s="35">
        <v>117</v>
      </c>
      <c r="BO119" s="50">
        <v>58.5</v>
      </c>
      <c r="BP119" s="67" t="s">
        <v>0</v>
      </c>
    </row>
    <row r="120" spans="66:68" ht="39.950000000000003" hidden="1" customHeight="1" x14ac:dyDescent="0.25">
      <c r="BN120" s="35">
        <v>118</v>
      </c>
      <c r="BO120" s="50">
        <v>59</v>
      </c>
      <c r="BP120" s="67" t="s">
        <v>0</v>
      </c>
    </row>
    <row r="121" spans="66:68" ht="39.950000000000003" hidden="1" customHeight="1" x14ac:dyDescent="0.25">
      <c r="BN121" s="35">
        <v>119</v>
      </c>
      <c r="BO121" s="50">
        <v>59.5</v>
      </c>
      <c r="BP121" s="67" t="s">
        <v>0</v>
      </c>
    </row>
    <row r="122" spans="66:68" ht="39.950000000000003" hidden="1" customHeight="1" x14ac:dyDescent="0.25">
      <c r="BN122" s="35">
        <v>120</v>
      </c>
      <c r="BO122" s="50">
        <v>60</v>
      </c>
      <c r="BP122" s="67" t="s">
        <v>0</v>
      </c>
    </row>
    <row r="123" spans="66:68" ht="39.950000000000003" hidden="1" customHeight="1" x14ac:dyDescent="0.25">
      <c r="BN123" s="35">
        <v>121</v>
      </c>
      <c r="BO123" s="50">
        <v>60.5</v>
      </c>
      <c r="BP123" s="67" t="s">
        <v>0</v>
      </c>
    </row>
    <row r="124" spans="66:68" ht="39.950000000000003" hidden="1" customHeight="1" x14ac:dyDescent="0.25">
      <c r="BN124" s="35">
        <v>122</v>
      </c>
      <c r="BO124" s="50">
        <v>61</v>
      </c>
      <c r="BP124" s="67" t="s">
        <v>0</v>
      </c>
    </row>
    <row r="125" spans="66:68" ht="39.950000000000003" hidden="1" customHeight="1" x14ac:dyDescent="0.25">
      <c r="BN125" s="35">
        <v>123</v>
      </c>
      <c r="BO125" s="50">
        <v>61.5</v>
      </c>
      <c r="BP125" s="67" t="s">
        <v>0</v>
      </c>
    </row>
    <row r="126" spans="66:68" ht="39.950000000000003" hidden="1" customHeight="1" x14ac:dyDescent="0.25">
      <c r="BN126" s="35">
        <v>124</v>
      </c>
      <c r="BO126" s="50">
        <v>62</v>
      </c>
      <c r="BP126" s="67" t="s">
        <v>0</v>
      </c>
    </row>
    <row r="127" spans="66:68" ht="39.950000000000003" hidden="1" customHeight="1" x14ac:dyDescent="0.25">
      <c r="BN127" s="35">
        <v>125</v>
      </c>
      <c r="BO127" s="50">
        <v>62.5</v>
      </c>
      <c r="BP127" s="67" t="s">
        <v>0</v>
      </c>
    </row>
    <row r="128" spans="66:68" ht="39.950000000000003" hidden="1" customHeight="1" x14ac:dyDescent="0.25">
      <c r="BN128" s="35">
        <v>126</v>
      </c>
      <c r="BO128" s="50">
        <v>63</v>
      </c>
      <c r="BP128" s="67" t="s">
        <v>0</v>
      </c>
    </row>
    <row r="129" spans="66:68" ht="39.950000000000003" hidden="1" customHeight="1" x14ac:dyDescent="0.25">
      <c r="BN129" s="35">
        <v>127</v>
      </c>
      <c r="BO129" s="50">
        <v>63.5</v>
      </c>
      <c r="BP129" s="67" t="s">
        <v>0</v>
      </c>
    </row>
    <row r="130" spans="66:68" ht="39.950000000000003" hidden="1" customHeight="1" x14ac:dyDescent="0.25">
      <c r="BN130" s="35">
        <v>128</v>
      </c>
      <c r="BO130" s="50">
        <v>64</v>
      </c>
      <c r="BP130" s="67" t="s">
        <v>0</v>
      </c>
    </row>
    <row r="131" spans="66:68" ht="39.950000000000003" hidden="1" customHeight="1" x14ac:dyDescent="0.25">
      <c r="BN131" s="35">
        <v>129</v>
      </c>
      <c r="BO131" s="50">
        <v>64.5</v>
      </c>
      <c r="BP131" s="67" t="s">
        <v>0</v>
      </c>
    </row>
    <row r="132" spans="66:68" ht="39.950000000000003" hidden="1" customHeight="1" x14ac:dyDescent="0.25">
      <c r="BN132" s="35">
        <v>130</v>
      </c>
      <c r="BO132" s="50">
        <v>65</v>
      </c>
      <c r="BP132" s="67" t="s">
        <v>0</v>
      </c>
    </row>
    <row r="133" spans="66:68" ht="39.950000000000003" hidden="1" customHeight="1" x14ac:dyDescent="0.25">
      <c r="BN133" s="35">
        <v>131</v>
      </c>
      <c r="BO133" s="50">
        <v>65.5</v>
      </c>
      <c r="BP133" s="67" t="s">
        <v>0</v>
      </c>
    </row>
    <row r="134" spans="66:68" ht="39.950000000000003" hidden="1" customHeight="1" x14ac:dyDescent="0.25">
      <c r="BN134" s="35">
        <v>132</v>
      </c>
      <c r="BO134" s="50">
        <v>66</v>
      </c>
      <c r="BP134" s="67" t="s">
        <v>0</v>
      </c>
    </row>
    <row r="135" spans="66:68" ht="39.950000000000003" hidden="1" customHeight="1" x14ac:dyDescent="0.25">
      <c r="BN135" s="35">
        <v>133</v>
      </c>
      <c r="BO135" s="50">
        <v>66.5</v>
      </c>
      <c r="BP135" s="67" t="s">
        <v>0</v>
      </c>
    </row>
    <row r="136" spans="66:68" ht="39.950000000000003" hidden="1" customHeight="1" x14ac:dyDescent="0.25">
      <c r="BN136" s="35">
        <v>134</v>
      </c>
      <c r="BO136" s="50">
        <v>67</v>
      </c>
      <c r="BP136" s="67" t="s">
        <v>0</v>
      </c>
    </row>
    <row r="137" spans="66:68" ht="39.950000000000003" hidden="1" customHeight="1" x14ac:dyDescent="0.25">
      <c r="BN137" s="35">
        <v>135</v>
      </c>
      <c r="BO137" s="50">
        <v>67.5</v>
      </c>
      <c r="BP137" s="67" t="s">
        <v>0</v>
      </c>
    </row>
    <row r="138" spans="66:68" ht="39.950000000000003" hidden="1" customHeight="1" x14ac:dyDescent="0.25">
      <c r="BN138" s="35">
        <v>136</v>
      </c>
      <c r="BO138" s="50">
        <v>68</v>
      </c>
      <c r="BP138" s="67" t="s">
        <v>0</v>
      </c>
    </row>
    <row r="139" spans="66:68" ht="39.950000000000003" hidden="1" customHeight="1" x14ac:dyDescent="0.25">
      <c r="BN139" s="35">
        <v>137</v>
      </c>
      <c r="BO139" s="50">
        <v>68.5</v>
      </c>
      <c r="BP139" s="67" t="s">
        <v>0</v>
      </c>
    </row>
    <row r="140" spans="66:68" ht="39.950000000000003" hidden="1" customHeight="1" x14ac:dyDescent="0.25">
      <c r="BN140" s="35">
        <v>138</v>
      </c>
      <c r="BO140" s="50">
        <v>69</v>
      </c>
      <c r="BP140" s="67" t="s">
        <v>0</v>
      </c>
    </row>
    <row r="141" spans="66:68" ht="39.950000000000003" hidden="1" customHeight="1" x14ac:dyDescent="0.25">
      <c r="BN141" s="35">
        <v>139</v>
      </c>
      <c r="BO141" s="50">
        <v>69.5</v>
      </c>
      <c r="BP141" s="67" t="s">
        <v>0</v>
      </c>
    </row>
    <row r="142" spans="66:68" ht="39.950000000000003" hidden="1" customHeight="1" x14ac:dyDescent="0.25">
      <c r="BN142" s="35">
        <v>140</v>
      </c>
      <c r="BO142" s="50">
        <v>70</v>
      </c>
      <c r="BP142" s="67" t="s">
        <v>0</v>
      </c>
    </row>
    <row r="143" spans="66:68" ht="39.950000000000003" hidden="1" customHeight="1" x14ac:dyDescent="0.25">
      <c r="BN143" s="35">
        <v>141</v>
      </c>
      <c r="BO143" s="50">
        <v>70.5</v>
      </c>
      <c r="BP143" s="67" t="s">
        <v>0</v>
      </c>
    </row>
    <row r="144" spans="66:68" ht="39.950000000000003" hidden="1" customHeight="1" x14ac:dyDescent="0.25">
      <c r="BN144" s="35">
        <v>142</v>
      </c>
      <c r="BO144" s="50">
        <v>71</v>
      </c>
      <c r="BP144" s="67" t="s">
        <v>0</v>
      </c>
    </row>
    <row r="145" spans="66:68" ht="39.950000000000003" hidden="1" customHeight="1" x14ac:dyDescent="0.25">
      <c r="BN145" s="35">
        <v>143</v>
      </c>
      <c r="BO145" s="50">
        <v>71.5</v>
      </c>
      <c r="BP145" s="67" t="s">
        <v>0</v>
      </c>
    </row>
    <row r="146" spans="66:68" ht="39.950000000000003" hidden="1" customHeight="1" x14ac:dyDescent="0.25">
      <c r="BN146" s="35">
        <v>144</v>
      </c>
      <c r="BO146" s="50">
        <v>72</v>
      </c>
      <c r="BP146" s="67" t="s">
        <v>0</v>
      </c>
    </row>
    <row r="147" spans="66:68" ht="39.950000000000003" hidden="1" customHeight="1" x14ac:dyDescent="0.25">
      <c r="BN147" s="35">
        <v>145</v>
      </c>
      <c r="BO147" s="50">
        <v>72.5</v>
      </c>
      <c r="BP147" s="67" t="s">
        <v>0</v>
      </c>
    </row>
    <row r="148" spans="66:68" ht="39.950000000000003" hidden="1" customHeight="1" x14ac:dyDescent="0.25">
      <c r="BN148" s="35">
        <v>146</v>
      </c>
      <c r="BO148" s="50">
        <v>73</v>
      </c>
      <c r="BP148" s="67" t="s">
        <v>0</v>
      </c>
    </row>
    <row r="149" spans="66:68" ht="39.950000000000003" hidden="1" customHeight="1" x14ac:dyDescent="0.25">
      <c r="BN149" s="35">
        <v>147</v>
      </c>
      <c r="BO149" s="50">
        <v>73.5</v>
      </c>
      <c r="BP149" s="67" t="s">
        <v>0</v>
      </c>
    </row>
    <row r="150" spans="66:68" ht="39.950000000000003" hidden="1" customHeight="1" x14ac:dyDescent="0.25">
      <c r="BN150" s="35">
        <v>148</v>
      </c>
      <c r="BO150" s="50">
        <v>74</v>
      </c>
      <c r="BP150" s="67" t="s">
        <v>0</v>
      </c>
    </row>
    <row r="151" spans="66:68" ht="39.950000000000003" hidden="1" customHeight="1" x14ac:dyDescent="0.25">
      <c r="BN151" s="35">
        <v>149</v>
      </c>
      <c r="BO151" s="50">
        <v>74.5</v>
      </c>
      <c r="BP151" s="67" t="s">
        <v>0</v>
      </c>
    </row>
    <row r="152" spans="66:68" ht="39.950000000000003" hidden="1" customHeight="1" x14ac:dyDescent="0.25">
      <c r="BN152" s="35">
        <v>150</v>
      </c>
      <c r="BO152" s="50">
        <v>75</v>
      </c>
      <c r="BP152" s="67" t="s">
        <v>0</v>
      </c>
    </row>
    <row r="153" spans="66:68" ht="39.950000000000003" hidden="1" customHeight="1" x14ac:dyDescent="0.25">
      <c r="BN153" s="35">
        <v>151</v>
      </c>
      <c r="BO153" s="50">
        <v>75.5</v>
      </c>
      <c r="BP153" s="67" t="s">
        <v>0</v>
      </c>
    </row>
    <row r="154" spans="66:68" ht="39.950000000000003" hidden="1" customHeight="1" x14ac:dyDescent="0.25">
      <c r="BN154" s="35">
        <v>152</v>
      </c>
      <c r="BO154" s="50">
        <v>76</v>
      </c>
      <c r="BP154" s="67" t="s">
        <v>0</v>
      </c>
    </row>
    <row r="155" spans="66:68" ht="39.950000000000003" hidden="1" customHeight="1" x14ac:dyDescent="0.25">
      <c r="BN155" s="35">
        <v>153</v>
      </c>
      <c r="BO155" s="50">
        <v>76.5</v>
      </c>
      <c r="BP155" s="67" t="s">
        <v>0</v>
      </c>
    </row>
    <row r="156" spans="66:68" ht="39.950000000000003" hidden="1" customHeight="1" x14ac:dyDescent="0.25">
      <c r="BN156" s="35">
        <v>154</v>
      </c>
      <c r="BO156" s="50">
        <v>77</v>
      </c>
      <c r="BP156" s="67" t="s">
        <v>0</v>
      </c>
    </row>
    <row r="157" spans="66:68" ht="39.950000000000003" hidden="1" customHeight="1" x14ac:dyDescent="0.25">
      <c r="BN157" s="35">
        <v>155</v>
      </c>
      <c r="BO157" s="50">
        <v>77.5</v>
      </c>
      <c r="BP157" s="67" t="s">
        <v>0</v>
      </c>
    </row>
    <row r="158" spans="66:68" ht="39.950000000000003" hidden="1" customHeight="1" x14ac:dyDescent="0.25">
      <c r="BN158" s="35">
        <v>156</v>
      </c>
      <c r="BO158" s="50">
        <v>78</v>
      </c>
      <c r="BP158" s="67" t="s">
        <v>0</v>
      </c>
    </row>
    <row r="159" spans="66:68" ht="39.950000000000003" hidden="1" customHeight="1" x14ac:dyDescent="0.25">
      <c r="BN159" s="35">
        <v>157</v>
      </c>
      <c r="BO159" s="50">
        <v>78.5</v>
      </c>
      <c r="BP159" s="67" t="s">
        <v>0</v>
      </c>
    </row>
    <row r="160" spans="66:68" ht="39.950000000000003" hidden="1" customHeight="1" x14ac:dyDescent="0.25">
      <c r="BN160" s="35">
        <v>158</v>
      </c>
      <c r="BO160" s="50">
        <v>79</v>
      </c>
      <c r="BP160" s="67" t="s">
        <v>0</v>
      </c>
    </row>
    <row r="161" spans="66:68" ht="39.950000000000003" hidden="1" customHeight="1" x14ac:dyDescent="0.25">
      <c r="BN161" s="35">
        <v>159</v>
      </c>
      <c r="BO161" s="50">
        <v>79.5</v>
      </c>
      <c r="BP161" s="67" t="s">
        <v>0</v>
      </c>
    </row>
    <row r="162" spans="66:68" ht="39.950000000000003" hidden="1" customHeight="1" x14ac:dyDescent="0.25">
      <c r="BN162" s="35">
        <v>160</v>
      </c>
      <c r="BO162" s="50">
        <v>80</v>
      </c>
      <c r="BP162" s="67" t="s">
        <v>0</v>
      </c>
    </row>
    <row r="163" spans="66:68" ht="39.950000000000003" hidden="1" customHeight="1" x14ac:dyDescent="0.25">
      <c r="BN163" s="35">
        <v>161</v>
      </c>
      <c r="BO163" s="50">
        <v>80.5</v>
      </c>
      <c r="BP163" s="67" t="s">
        <v>0</v>
      </c>
    </row>
    <row r="164" spans="66:68" ht="39.950000000000003" hidden="1" customHeight="1" x14ac:dyDescent="0.25">
      <c r="BN164" s="35">
        <v>162</v>
      </c>
      <c r="BO164" s="50">
        <v>81</v>
      </c>
      <c r="BP164" s="67" t="s">
        <v>0</v>
      </c>
    </row>
    <row r="165" spans="66:68" ht="39.950000000000003" hidden="1" customHeight="1" x14ac:dyDescent="0.25">
      <c r="BN165" s="35">
        <v>163</v>
      </c>
      <c r="BO165" s="50">
        <v>81.5</v>
      </c>
      <c r="BP165" s="67" t="s">
        <v>0</v>
      </c>
    </row>
    <row r="166" spans="66:68" ht="39.950000000000003" hidden="1" customHeight="1" x14ac:dyDescent="0.25">
      <c r="BN166" s="35">
        <v>164</v>
      </c>
      <c r="BO166" s="50">
        <v>82</v>
      </c>
      <c r="BP166" s="67" t="s">
        <v>0</v>
      </c>
    </row>
    <row r="167" spans="66:68" ht="39.950000000000003" hidden="1" customHeight="1" x14ac:dyDescent="0.25">
      <c r="BN167" s="35">
        <v>165</v>
      </c>
      <c r="BO167" s="50">
        <v>82.5</v>
      </c>
      <c r="BP167" s="67" t="s">
        <v>0</v>
      </c>
    </row>
    <row r="168" spans="66:68" ht="39.950000000000003" hidden="1" customHeight="1" x14ac:dyDescent="0.25">
      <c r="BN168" s="35">
        <v>166</v>
      </c>
      <c r="BO168" s="50">
        <v>83</v>
      </c>
      <c r="BP168" s="67" t="s">
        <v>0</v>
      </c>
    </row>
    <row r="169" spans="66:68" ht="39.950000000000003" hidden="1" customHeight="1" x14ac:dyDescent="0.25">
      <c r="BN169" s="35">
        <v>167</v>
      </c>
      <c r="BO169" s="50">
        <v>83.5</v>
      </c>
      <c r="BP169" s="67" t="s">
        <v>0</v>
      </c>
    </row>
    <row r="170" spans="66:68" ht="39.950000000000003" hidden="1" customHeight="1" x14ac:dyDescent="0.25">
      <c r="BN170" s="35">
        <v>168</v>
      </c>
      <c r="BO170" s="50">
        <v>84</v>
      </c>
      <c r="BP170" s="67" t="s">
        <v>0</v>
      </c>
    </row>
    <row r="171" spans="66:68" ht="39.950000000000003" hidden="1" customHeight="1" x14ac:dyDescent="0.25">
      <c r="BN171" s="35">
        <v>169</v>
      </c>
      <c r="BO171" s="50">
        <v>84.5</v>
      </c>
      <c r="BP171" s="67" t="s">
        <v>0</v>
      </c>
    </row>
    <row r="172" spans="66:68" ht="39.950000000000003" hidden="1" customHeight="1" x14ac:dyDescent="0.25">
      <c r="BN172" s="35">
        <v>170</v>
      </c>
      <c r="BO172" s="50">
        <v>85</v>
      </c>
      <c r="BP172" s="67" t="s">
        <v>0</v>
      </c>
    </row>
    <row r="173" spans="66:68" ht="39.950000000000003" hidden="1" customHeight="1" x14ac:dyDescent="0.25">
      <c r="BN173" s="35">
        <v>171</v>
      </c>
      <c r="BO173" s="50">
        <v>85.5</v>
      </c>
      <c r="BP173" s="67" t="s">
        <v>0</v>
      </c>
    </row>
    <row r="174" spans="66:68" ht="39.950000000000003" hidden="1" customHeight="1" x14ac:dyDescent="0.25">
      <c r="BN174" s="35">
        <v>172</v>
      </c>
      <c r="BO174" s="50">
        <v>86</v>
      </c>
      <c r="BP174" s="67" t="s">
        <v>0</v>
      </c>
    </row>
    <row r="175" spans="66:68" ht="39.950000000000003" hidden="1" customHeight="1" x14ac:dyDescent="0.25">
      <c r="BN175" s="35">
        <v>173</v>
      </c>
      <c r="BO175" s="50">
        <v>86.5</v>
      </c>
      <c r="BP175" s="67" t="s">
        <v>0</v>
      </c>
    </row>
    <row r="176" spans="66:68" ht="39.950000000000003" hidden="1" customHeight="1" x14ac:dyDescent="0.25">
      <c r="BN176" s="35">
        <v>174</v>
      </c>
      <c r="BO176" s="50">
        <v>87</v>
      </c>
      <c r="BP176" s="67" t="s">
        <v>0</v>
      </c>
    </row>
    <row r="177" spans="66:68" ht="39.950000000000003" hidden="1" customHeight="1" x14ac:dyDescent="0.25">
      <c r="BN177" s="35">
        <v>175</v>
      </c>
      <c r="BO177" s="50">
        <v>87.5</v>
      </c>
      <c r="BP177" s="67" t="s">
        <v>0</v>
      </c>
    </row>
    <row r="178" spans="66:68" ht="39.950000000000003" hidden="1" customHeight="1" x14ac:dyDescent="0.25">
      <c r="BN178" s="35">
        <v>176</v>
      </c>
      <c r="BO178" s="50">
        <v>88</v>
      </c>
      <c r="BP178" s="67" t="s">
        <v>0</v>
      </c>
    </row>
    <row r="179" spans="66:68" ht="39.950000000000003" hidden="1" customHeight="1" x14ac:dyDescent="0.25">
      <c r="BN179" s="35">
        <v>177</v>
      </c>
      <c r="BO179" s="50">
        <v>88.5</v>
      </c>
      <c r="BP179" s="67" t="s">
        <v>0</v>
      </c>
    </row>
    <row r="180" spans="66:68" ht="39.950000000000003" hidden="1" customHeight="1" x14ac:dyDescent="0.25">
      <c r="BN180" s="35">
        <v>178</v>
      </c>
      <c r="BO180" s="50">
        <v>89</v>
      </c>
      <c r="BP180" s="67" t="s">
        <v>0</v>
      </c>
    </row>
    <row r="181" spans="66:68" ht="39.950000000000003" hidden="1" customHeight="1" x14ac:dyDescent="0.25">
      <c r="BN181" s="35">
        <v>179</v>
      </c>
      <c r="BO181" s="50">
        <v>89.5</v>
      </c>
      <c r="BP181" s="67" t="s">
        <v>0</v>
      </c>
    </row>
    <row r="182" spans="66:68" ht="39.950000000000003" hidden="1" customHeight="1" x14ac:dyDescent="0.25">
      <c r="BN182" s="35">
        <v>180</v>
      </c>
      <c r="BO182" s="50">
        <v>90</v>
      </c>
      <c r="BP182" s="67" t="s">
        <v>0</v>
      </c>
    </row>
    <row r="183" spans="66:68" ht="39.950000000000003" hidden="1" customHeight="1" x14ac:dyDescent="0.25">
      <c r="BN183" s="35">
        <v>181</v>
      </c>
      <c r="BO183" s="50">
        <v>90.5</v>
      </c>
      <c r="BP183" s="67" t="s">
        <v>0</v>
      </c>
    </row>
    <row r="184" spans="66:68" ht="39.950000000000003" hidden="1" customHeight="1" x14ac:dyDescent="0.25">
      <c r="BN184" s="35">
        <v>182</v>
      </c>
      <c r="BO184" s="50">
        <v>91</v>
      </c>
      <c r="BP184" s="67" t="s">
        <v>0</v>
      </c>
    </row>
    <row r="185" spans="66:68" ht="39.950000000000003" hidden="1" customHeight="1" x14ac:dyDescent="0.25">
      <c r="BN185" s="35">
        <v>183</v>
      </c>
      <c r="BO185" s="50">
        <v>91.5</v>
      </c>
      <c r="BP185" s="67" t="s">
        <v>0</v>
      </c>
    </row>
    <row r="186" spans="66:68" ht="39.950000000000003" hidden="1" customHeight="1" x14ac:dyDescent="0.25">
      <c r="BN186" s="35">
        <v>184</v>
      </c>
      <c r="BO186" s="50">
        <v>92</v>
      </c>
      <c r="BP186" s="67" t="s">
        <v>0</v>
      </c>
    </row>
    <row r="187" spans="66:68" ht="39.950000000000003" hidden="1" customHeight="1" x14ac:dyDescent="0.25">
      <c r="BN187" s="35">
        <v>185</v>
      </c>
      <c r="BO187" s="50">
        <v>92.5</v>
      </c>
      <c r="BP187" s="67" t="s">
        <v>0</v>
      </c>
    </row>
    <row r="188" spans="66:68" ht="39.950000000000003" hidden="1" customHeight="1" x14ac:dyDescent="0.25">
      <c r="BN188" s="35">
        <v>186</v>
      </c>
      <c r="BO188" s="50">
        <v>93</v>
      </c>
      <c r="BP188" s="67" t="s">
        <v>0</v>
      </c>
    </row>
    <row r="189" spans="66:68" ht="39.950000000000003" hidden="1" customHeight="1" x14ac:dyDescent="0.25">
      <c r="BN189" s="35">
        <v>187</v>
      </c>
      <c r="BO189" s="50">
        <v>93.5</v>
      </c>
      <c r="BP189" s="67" t="s">
        <v>0</v>
      </c>
    </row>
    <row r="190" spans="66:68" ht="39.950000000000003" hidden="1" customHeight="1" x14ac:dyDescent="0.25">
      <c r="BN190" s="35">
        <v>188</v>
      </c>
      <c r="BO190" s="50">
        <v>94</v>
      </c>
      <c r="BP190" s="67" t="s">
        <v>0</v>
      </c>
    </row>
    <row r="191" spans="66:68" ht="39.950000000000003" hidden="1" customHeight="1" x14ac:dyDescent="0.25">
      <c r="BN191" s="35">
        <v>189</v>
      </c>
      <c r="BO191" s="50">
        <v>94.5</v>
      </c>
      <c r="BP191" s="67" t="s">
        <v>0</v>
      </c>
    </row>
    <row r="192" spans="66:68" ht="39.950000000000003" hidden="1" customHeight="1" x14ac:dyDescent="0.25">
      <c r="BN192" s="35">
        <v>190</v>
      </c>
      <c r="BO192" s="50">
        <v>95</v>
      </c>
      <c r="BP192" s="67" t="s">
        <v>0</v>
      </c>
    </row>
    <row r="193" spans="66:68" ht="39.950000000000003" hidden="1" customHeight="1" x14ac:dyDescent="0.25">
      <c r="BN193" s="35">
        <v>191</v>
      </c>
      <c r="BO193" s="50">
        <v>95.5</v>
      </c>
      <c r="BP193" s="67" t="s">
        <v>0</v>
      </c>
    </row>
    <row r="194" spans="66:68" ht="39.950000000000003" hidden="1" customHeight="1" x14ac:dyDescent="0.25">
      <c r="BN194" s="35">
        <v>192</v>
      </c>
      <c r="BO194" s="50">
        <v>96</v>
      </c>
      <c r="BP194" s="67" t="s">
        <v>0</v>
      </c>
    </row>
    <row r="195" spans="66:68" ht="39.950000000000003" hidden="1" customHeight="1" x14ac:dyDescent="0.25">
      <c r="BN195" s="35">
        <v>193</v>
      </c>
      <c r="BO195" s="50">
        <v>96.5</v>
      </c>
      <c r="BP195" s="67" t="s">
        <v>0</v>
      </c>
    </row>
    <row r="196" spans="66:68" ht="39.950000000000003" hidden="1" customHeight="1" x14ac:dyDescent="0.25">
      <c r="BN196" s="35">
        <v>194</v>
      </c>
      <c r="BO196" s="50">
        <v>97</v>
      </c>
      <c r="BP196" s="67" t="s">
        <v>0</v>
      </c>
    </row>
    <row r="197" spans="66:68" ht="39.950000000000003" hidden="1" customHeight="1" x14ac:dyDescent="0.25">
      <c r="BN197" s="35">
        <v>195</v>
      </c>
      <c r="BO197" s="50">
        <v>97.5</v>
      </c>
      <c r="BP197" s="67" t="s">
        <v>0</v>
      </c>
    </row>
    <row r="198" spans="66:68" ht="39.950000000000003" hidden="1" customHeight="1" x14ac:dyDescent="0.25">
      <c r="BN198" s="35">
        <v>196</v>
      </c>
      <c r="BO198" s="50">
        <v>98</v>
      </c>
      <c r="BP198" s="67" t="s">
        <v>0</v>
      </c>
    </row>
    <row r="199" spans="66:68" ht="39.950000000000003" hidden="1" customHeight="1" x14ac:dyDescent="0.25">
      <c r="BN199" s="35">
        <v>197</v>
      </c>
      <c r="BO199" s="50">
        <v>98.5</v>
      </c>
      <c r="BP199" s="67" t="s">
        <v>0</v>
      </c>
    </row>
    <row r="200" spans="66:68" ht="39.950000000000003" hidden="1" customHeight="1" x14ac:dyDescent="0.25">
      <c r="BN200" s="35">
        <v>198</v>
      </c>
      <c r="BO200" s="50">
        <v>99</v>
      </c>
      <c r="BP200" s="67" t="s">
        <v>0</v>
      </c>
    </row>
    <row r="201" spans="66:68" ht="39.950000000000003" hidden="1" customHeight="1" x14ac:dyDescent="0.25">
      <c r="BN201" s="35">
        <v>199</v>
      </c>
      <c r="BO201" s="50">
        <v>99.5</v>
      </c>
      <c r="BP201" s="67" t="s">
        <v>0</v>
      </c>
    </row>
    <row r="202" spans="66:68" ht="39.950000000000003" hidden="1" customHeight="1" x14ac:dyDescent="0.25">
      <c r="BN202" s="35">
        <v>200</v>
      </c>
      <c r="BO202" s="50">
        <v>100</v>
      </c>
      <c r="BP202" s="67" t="s">
        <v>0</v>
      </c>
    </row>
    <row r="203" spans="66:68" ht="39.950000000000003" hidden="1" customHeight="1" x14ac:dyDescent="0.25">
      <c r="BN203" s="35">
        <v>201</v>
      </c>
      <c r="BO203" s="50">
        <v>100.5</v>
      </c>
      <c r="BP203" s="67" t="s">
        <v>0</v>
      </c>
    </row>
    <row r="204" spans="66:68" ht="39.950000000000003" hidden="1" customHeight="1" x14ac:dyDescent="0.25">
      <c r="BN204" s="35">
        <v>202</v>
      </c>
      <c r="BO204" s="50">
        <v>101</v>
      </c>
      <c r="BP204" s="67" t="s">
        <v>0</v>
      </c>
    </row>
    <row r="205" spans="66:68" ht="39.950000000000003" hidden="1" customHeight="1" x14ac:dyDescent="0.25">
      <c r="BN205" s="35">
        <v>203</v>
      </c>
      <c r="BO205" s="50">
        <v>101.5</v>
      </c>
      <c r="BP205" s="67" t="s">
        <v>0</v>
      </c>
    </row>
    <row r="206" spans="66:68" ht="39.950000000000003" hidden="1" customHeight="1" x14ac:dyDescent="0.25">
      <c r="BN206" s="35">
        <v>204</v>
      </c>
      <c r="BO206" s="50">
        <v>102</v>
      </c>
      <c r="BP206" s="67" t="s">
        <v>0</v>
      </c>
    </row>
    <row r="207" spans="66:68" ht="39.950000000000003" hidden="1" customHeight="1" x14ac:dyDescent="0.25">
      <c r="BN207" s="35">
        <v>205</v>
      </c>
      <c r="BO207" s="50">
        <v>102.5</v>
      </c>
      <c r="BP207" s="67" t="s">
        <v>0</v>
      </c>
    </row>
    <row r="208" spans="66:68" ht="39.950000000000003" hidden="1" customHeight="1" x14ac:dyDescent="0.25">
      <c r="BN208" s="35">
        <v>206</v>
      </c>
      <c r="BO208" s="50">
        <v>103</v>
      </c>
      <c r="BP208" s="67" t="s">
        <v>0</v>
      </c>
    </row>
    <row r="209" spans="66:68" ht="39.950000000000003" hidden="1" customHeight="1" x14ac:dyDescent="0.25">
      <c r="BN209" s="35">
        <v>207</v>
      </c>
      <c r="BO209" s="50">
        <v>103.5</v>
      </c>
      <c r="BP209" s="67" t="s">
        <v>0</v>
      </c>
    </row>
    <row r="210" spans="66:68" ht="39.950000000000003" hidden="1" customHeight="1" x14ac:dyDescent="0.25">
      <c r="BN210" s="35">
        <v>208</v>
      </c>
      <c r="BO210" s="50">
        <v>104</v>
      </c>
      <c r="BP210" s="67" t="s">
        <v>0</v>
      </c>
    </row>
    <row r="211" spans="66:68" ht="39.950000000000003" hidden="1" customHeight="1" x14ac:dyDescent="0.25">
      <c r="BN211" s="35">
        <v>209</v>
      </c>
      <c r="BO211" s="50">
        <v>104.5</v>
      </c>
      <c r="BP211" s="67" t="s">
        <v>0</v>
      </c>
    </row>
    <row r="212" spans="66:68" ht="39.950000000000003" hidden="1" customHeight="1" x14ac:dyDescent="0.25">
      <c r="BN212" s="35">
        <v>210</v>
      </c>
      <c r="BO212" s="50">
        <v>105</v>
      </c>
      <c r="BP212" s="67" t="s">
        <v>0</v>
      </c>
    </row>
    <row r="213" spans="66:68" ht="39.950000000000003" hidden="1" customHeight="1" x14ac:dyDescent="0.25">
      <c r="BN213" s="35">
        <v>211</v>
      </c>
      <c r="BO213" s="50">
        <v>105.5</v>
      </c>
      <c r="BP213" s="67" t="s">
        <v>0</v>
      </c>
    </row>
    <row r="214" spans="66:68" ht="39.950000000000003" hidden="1" customHeight="1" x14ac:dyDescent="0.25">
      <c r="BN214" s="35">
        <v>212</v>
      </c>
      <c r="BO214" s="50">
        <v>106</v>
      </c>
      <c r="BP214" s="67" t="s">
        <v>0</v>
      </c>
    </row>
    <row r="215" spans="66:68" ht="39.950000000000003" hidden="1" customHeight="1" x14ac:dyDescent="0.25">
      <c r="BN215" s="35">
        <v>213</v>
      </c>
      <c r="BO215" s="50">
        <v>106.5</v>
      </c>
      <c r="BP215" s="67" t="s">
        <v>0</v>
      </c>
    </row>
    <row r="216" spans="66:68" ht="39.950000000000003" hidden="1" customHeight="1" x14ac:dyDescent="0.25">
      <c r="BN216" s="35">
        <v>214</v>
      </c>
      <c r="BO216" s="50">
        <v>107</v>
      </c>
      <c r="BP216" s="67" t="s">
        <v>0</v>
      </c>
    </row>
    <row r="217" spans="66:68" ht="39.950000000000003" hidden="1" customHeight="1" x14ac:dyDescent="0.25">
      <c r="BN217" s="35">
        <v>215</v>
      </c>
      <c r="BO217" s="50">
        <v>107.5</v>
      </c>
      <c r="BP217" s="67" t="s">
        <v>0</v>
      </c>
    </row>
    <row r="218" spans="66:68" ht="39.950000000000003" hidden="1" customHeight="1" x14ac:dyDescent="0.25">
      <c r="BN218" s="35">
        <v>216</v>
      </c>
      <c r="BO218" s="50">
        <v>108</v>
      </c>
      <c r="BP218" s="67" t="s">
        <v>0</v>
      </c>
    </row>
    <row r="219" spans="66:68" ht="39.950000000000003" hidden="1" customHeight="1" x14ac:dyDescent="0.25">
      <c r="BN219" s="35">
        <v>217</v>
      </c>
      <c r="BO219" s="50">
        <v>108.5</v>
      </c>
      <c r="BP219" s="67" t="s">
        <v>0</v>
      </c>
    </row>
    <row r="220" spans="66:68" ht="39.950000000000003" hidden="1" customHeight="1" x14ac:dyDescent="0.25">
      <c r="BN220" s="35">
        <v>218</v>
      </c>
      <c r="BO220" s="50">
        <v>109</v>
      </c>
      <c r="BP220" s="67" t="s">
        <v>0</v>
      </c>
    </row>
    <row r="221" spans="66:68" ht="39.950000000000003" hidden="1" customHeight="1" x14ac:dyDescent="0.25">
      <c r="BN221" s="35">
        <v>219</v>
      </c>
      <c r="BO221" s="50">
        <v>109.5</v>
      </c>
      <c r="BP221" s="67" t="s">
        <v>0</v>
      </c>
    </row>
    <row r="222" spans="66:68" ht="39.950000000000003" hidden="1" customHeight="1" x14ac:dyDescent="0.25">
      <c r="BN222" s="35">
        <v>220</v>
      </c>
      <c r="BO222" s="50">
        <v>110</v>
      </c>
      <c r="BP222" s="67" t="s">
        <v>0</v>
      </c>
    </row>
    <row r="223" spans="66:68" ht="39.950000000000003" hidden="1" customHeight="1" x14ac:dyDescent="0.25">
      <c r="BN223" s="35">
        <v>221</v>
      </c>
      <c r="BO223" s="50">
        <v>110.5</v>
      </c>
      <c r="BP223" s="67" t="s">
        <v>0</v>
      </c>
    </row>
    <row r="224" spans="66:68" ht="39.950000000000003" hidden="1" customHeight="1" x14ac:dyDescent="0.25">
      <c r="BN224" s="35">
        <v>222</v>
      </c>
      <c r="BO224" s="50">
        <v>111</v>
      </c>
      <c r="BP224" s="67" t="s">
        <v>0</v>
      </c>
    </row>
    <row r="225" spans="66:68" ht="39.950000000000003" hidden="1" customHeight="1" x14ac:dyDescent="0.25">
      <c r="BN225" s="35">
        <v>223</v>
      </c>
      <c r="BO225" s="50">
        <v>111.5</v>
      </c>
      <c r="BP225" s="67" t="s">
        <v>0</v>
      </c>
    </row>
    <row r="226" spans="66:68" ht="39.950000000000003" hidden="1" customHeight="1" x14ac:dyDescent="0.25">
      <c r="BN226" s="35">
        <v>224</v>
      </c>
      <c r="BO226" s="50">
        <v>112</v>
      </c>
      <c r="BP226" s="67" t="s">
        <v>0</v>
      </c>
    </row>
    <row r="227" spans="66:68" ht="39.950000000000003" hidden="1" customHeight="1" x14ac:dyDescent="0.25">
      <c r="BN227" s="35">
        <v>225</v>
      </c>
      <c r="BO227" s="50">
        <v>112.5</v>
      </c>
      <c r="BP227" s="67" t="s">
        <v>0</v>
      </c>
    </row>
    <row r="228" spans="66:68" ht="39.950000000000003" hidden="1" customHeight="1" x14ac:dyDescent="0.25">
      <c r="BN228" s="35">
        <v>226</v>
      </c>
      <c r="BO228" s="50">
        <v>113</v>
      </c>
      <c r="BP228" s="67" t="s">
        <v>0</v>
      </c>
    </row>
    <row r="229" spans="66:68" ht="39.950000000000003" hidden="1" customHeight="1" x14ac:dyDescent="0.25">
      <c r="BN229" s="35">
        <v>227</v>
      </c>
      <c r="BO229" s="50">
        <v>113.5</v>
      </c>
      <c r="BP229" s="67" t="s">
        <v>0</v>
      </c>
    </row>
    <row r="230" spans="66:68" ht="39.950000000000003" hidden="1" customHeight="1" x14ac:dyDescent="0.25">
      <c r="BN230" s="35">
        <v>228</v>
      </c>
      <c r="BO230" s="50">
        <v>114</v>
      </c>
      <c r="BP230" s="67" t="s">
        <v>0</v>
      </c>
    </row>
    <row r="231" spans="66:68" ht="39.950000000000003" hidden="1" customHeight="1" x14ac:dyDescent="0.25">
      <c r="BN231" s="35">
        <v>229</v>
      </c>
      <c r="BO231" s="50">
        <v>114.5</v>
      </c>
      <c r="BP231" s="67" t="s">
        <v>0</v>
      </c>
    </row>
    <row r="232" spans="66:68" ht="39.950000000000003" hidden="1" customHeight="1" x14ac:dyDescent="0.25">
      <c r="BN232" s="35">
        <v>230</v>
      </c>
      <c r="BO232" s="50">
        <v>115</v>
      </c>
      <c r="BP232" s="67" t="s">
        <v>0</v>
      </c>
    </row>
    <row r="233" spans="66:68" ht="39.950000000000003" hidden="1" customHeight="1" x14ac:dyDescent="0.25">
      <c r="BN233" s="35">
        <v>231</v>
      </c>
      <c r="BO233" s="50">
        <v>115.5</v>
      </c>
      <c r="BP233" s="67" t="s">
        <v>0</v>
      </c>
    </row>
    <row r="234" spans="66:68" ht="39.950000000000003" hidden="1" customHeight="1" x14ac:dyDescent="0.25">
      <c r="BN234" s="35">
        <v>232</v>
      </c>
      <c r="BO234" s="50">
        <v>116</v>
      </c>
      <c r="BP234" s="67" t="s">
        <v>0</v>
      </c>
    </row>
    <row r="235" spans="66:68" ht="39.950000000000003" hidden="1" customHeight="1" x14ac:dyDescent="0.25">
      <c r="BN235" s="35">
        <v>233</v>
      </c>
      <c r="BO235" s="50">
        <v>116.5</v>
      </c>
      <c r="BP235" s="67" t="s">
        <v>0</v>
      </c>
    </row>
    <row r="236" spans="66:68" ht="39.950000000000003" hidden="1" customHeight="1" x14ac:dyDescent="0.25">
      <c r="BN236" s="35">
        <v>234</v>
      </c>
      <c r="BO236" s="50">
        <v>117</v>
      </c>
      <c r="BP236" s="67" t="s">
        <v>0</v>
      </c>
    </row>
    <row r="237" spans="66:68" ht="39.950000000000003" hidden="1" customHeight="1" x14ac:dyDescent="0.25">
      <c r="BN237" s="35">
        <v>235</v>
      </c>
      <c r="BO237" s="50">
        <v>117.5</v>
      </c>
      <c r="BP237" s="67" t="s">
        <v>0</v>
      </c>
    </row>
    <row r="238" spans="66:68" ht="39.950000000000003" hidden="1" customHeight="1" x14ac:dyDescent="0.25">
      <c r="BN238" s="35">
        <v>236</v>
      </c>
      <c r="BO238" s="50">
        <v>118</v>
      </c>
      <c r="BP238" s="67" t="s">
        <v>0</v>
      </c>
    </row>
    <row r="239" spans="66:68" ht="39.950000000000003" hidden="1" customHeight="1" x14ac:dyDescent="0.25">
      <c r="BN239" s="35">
        <v>237</v>
      </c>
      <c r="BO239" s="50">
        <v>118.5</v>
      </c>
      <c r="BP239" s="67" t="s">
        <v>0</v>
      </c>
    </row>
    <row r="240" spans="66:68" ht="39.950000000000003" hidden="1" customHeight="1" x14ac:dyDescent="0.25">
      <c r="BN240" s="35">
        <v>238</v>
      </c>
      <c r="BO240" s="50">
        <v>119</v>
      </c>
      <c r="BP240" s="67" t="s">
        <v>0</v>
      </c>
    </row>
    <row r="241" spans="1:68" ht="39.950000000000003" hidden="1" customHeight="1" x14ac:dyDescent="0.25">
      <c r="BN241" s="35">
        <v>239</v>
      </c>
      <c r="BO241" s="50">
        <v>119.5</v>
      </c>
      <c r="BP241" s="67" t="s">
        <v>0</v>
      </c>
    </row>
    <row r="242" spans="1:68" ht="39.950000000000003" hidden="1" customHeight="1" x14ac:dyDescent="0.25">
      <c r="BN242" s="35">
        <v>240</v>
      </c>
      <c r="BO242" s="50">
        <v>120</v>
      </c>
      <c r="BP242" s="67" t="s">
        <v>0</v>
      </c>
    </row>
    <row r="243" spans="1:68" ht="39.950000000000003" hidden="1" customHeight="1" x14ac:dyDescent="0.25">
      <c r="BN243" s="35">
        <v>241</v>
      </c>
      <c r="BO243" s="50">
        <v>120.5</v>
      </c>
      <c r="BP243" s="67" t="s">
        <v>0</v>
      </c>
    </row>
    <row r="244" spans="1:68" ht="39.950000000000003" hidden="1" customHeight="1" x14ac:dyDescent="0.25">
      <c r="BN244" s="35">
        <v>242</v>
      </c>
      <c r="BO244" s="50">
        <v>121</v>
      </c>
      <c r="BP244" s="67" t="s">
        <v>0</v>
      </c>
    </row>
    <row r="245" spans="1:68" ht="39.950000000000003" hidden="1" customHeight="1" x14ac:dyDescent="0.25">
      <c r="BN245" s="35">
        <v>243</v>
      </c>
      <c r="BO245" s="50">
        <v>121.5</v>
      </c>
      <c r="BP245" s="67" t="s">
        <v>0</v>
      </c>
    </row>
    <row r="246" spans="1:68" ht="39.950000000000003" hidden="1" customHeight="1" x14ac:dyDescent="0.25">
      <c r="BN246" s="35">
        <v>244</v>
      </c>
      <c r="BO246" s="50">
        <v>122</v>
      </c>
      <c r="BP246" s="67" t="s">
        <v>0</v>
      </c>
    </row>
    <row r="247" spans="1:68" ht="39.950000000000003" hidden="1" customHeight="1" x14ac:dyDescent="0.25">
      <c r="BN247" s="35">
        <v>245</v>
      </c>
      <c r="BO247" s="50">
        <v>122.5</v>
      </c>
      <c r="BP247" s="67" t="s">
        <v>0</v>
      </c>
    </row>
    <row r="248" spans="1:68" ht="39.950000000000003" hidden="1" customHeight="1" x14ac:dyDescent="0.25">
      <c r="BN248" s="35">
        <v>246</v>
      </c>
      <c r="BO248" s="50">
        <v>123</v>
      </c>
      <c r="BP248" s="67" t="s">
        <v>0</v>
      </c>
    </row>
    <row r="249" spans="1:68" ht="39.950000000000003" hidden="1" customHeight="1" x14ac:dyDescent="0.25">
      <c r="BN249" s="35">
        <v>247</v>
      </c>
      <c r="BO249" s="50">
        <v>123.5</v>
      </c>
      <c r="BP249" s="67" t="s">
        <v>0</v>
      </c>
    </row>
    <row r="250" spans="1:68" ht="39.950000000000003" hidden="1" customHeight="1" x14ac:dyDescent="0.25">
      <c r="BN250" s="35">
        <v>248</v>
      </c>
      <c r="BO250" s="50">
        <v>124</v>
      </c>
      <c r="BP250" s="67" t="s">
        <v>0</v>
      </c>
    </row>
    <row r="251" spans="1:68" ht="39.950000000000003" hidden="1" customHeight="1" x14ac:dyDescent="0.25">
      <c r="BN251" s="35">
        <v>249</v>
      </c>
      <c r="BO251" s="50">
        <v>124.5</v>
      </c>
      <c r="BP251" s="67" t="s">
        <v>0</v>
      </c>
    </row>
    <row r="252" spans="1:68" ht="39.950000000000003" hidden="1" customHeight="1" x14ac:dyDescent="0.25">
      <c r="BN252" s="35">
        <v>250</v>
      </c>
      <c r="BO252" s="50">
        <v>125</v>
      </c>
      <c r="BP252" s="67" t="s">
        <v>0</v>
      </c>
    </row>
    <row r="253" spans="1:68" ht="39.950000000000003" hidden="1" customHeight="1" x14ac:dyDescent="0.25">
      <c r="BN253" s="35">
        <v>251</v>
      </c>
      <c r="BO253" s="50">
        <v>125.5</v>
      </c>
      <c r="BP253" s="67" t="s">
        <v>0</v>
      </c>
    </row>
    <row r="254" spans="1:68" s="23" customFormat="1" ht="39.950000000000003" hidden="1" customHeight="1" x14ac:dyDescent="0.25">
      <c r="A254" s="5"/>
      <c r="B254" s="5"/>
      <c r="C254" s="5"/>
      <c r="D254" s="5"/>
      <c r="E254" s="5"/>
      <c r="F254" s="5"/>
      <c r="G254" s="5"/>
      <c r="H254" s="5"/>
      <c r="I254" s="5"/>
      <c r="J254" s="5"/>
      <c r="K254" s="5"/>
      <c r="L254" s="5"/>
      <c r="M254" s="5"/>
      <c r="N254" s="5"/>
      <c r="O254" s="5"/>
      <c r="P254" s="5"/>
      <c r="Q254" s="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v>252</v>
      </c>
      <c r="BO254" s="50">
        <v>126</v>
      </c>
      <c r="BP254" s="67" t="s">
        <v>0</v>
      </c>
    </row>
    <row r="255" spans="1:68" s="23" customFormat="1" ht="39.950000000000003" hidden="1" customHeight="1" x14ac:dyDescent="0.25">
      <c r="A255" s="5"/>
      <c r="B255" s="5"/>
      <c r="C255" s="5"/>
      <c r="D255" s="5"/>
      <c r="E255" s="5"/>
      <c r="F255" s="5"/>
      <c r="G255" s="5"/>
      <c r="H255" s="5"/>
      <c r="I255" s="5"/>
      <c r="J255" s="5"/>
      <c r="K255" s="5"/>
      <c r="L255" s="5"/>
      <c r="M255" s="5"/>
      <c r="N255" s="5"/>
      <c r="O255" s="5"/>
      <c r="P255" s="5"/>
      <c r="Q255" s="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v>253</v>
      </c>
      <c r="BO255" s="50">
        <v>126.5</v>
      </c>
      <c r="BP255" s="67" t="s">
        <v>0</v>
      </c>
    </row>
    <row r="256" spans="1:68" s="23" customFormat="1" ht="39.950000000000003" hidden="1" customHeight="1" x14ac:dyDescent="0.25">
      <c r="A256" s="5"/>
      <c r="B256" s="5"/>
      <c r="C256" s="5"/>
      <c r="D256" s="5"/>
      <c r="E256" s="5"/>
      <c r="F256" s="5"/>
      <c r="G256" s="5"/>
      <c r="H256" s="5"/>
      <c r="I256" s="5"/>
      <c r="J256" s="5"/>
      <c r="K256" s="5"/>
      <c r="L256" s="5"/>
      <c r="M256" s="5"/>
      <c r="N256" s="5"/>
      <c r="O256" s="5"/>
      <c r="P256" s="5"/>
      <c r="Q256" s="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v>254</v>
      </c>
      <c r="BO256" s="50">
        <v>127</v>
      </c>
      <c r="BP256" s="67" t="s">
        <v>0</v>
      </c>
    </row>
    <row r="257" spans="1:68" s="23" customFormat="1" ht="39.950000000000003" hidden="1" customHeight="1" x14ac:dyDescent="0.25">
      <c r="A257" s="5"/>
      <c r="B257" s="5"/>
      <c r="C257" s="5"/>
      <c r="D257" s="5"/>
      <c r="E257" s="5"/>
      <c r="F257" s="5"/>
      <c r="G257" s="5"/>
      <c r="H257" s="5"/>
      <c r="I257" s="5"/>
      <c r="J257" s="5"/>
      <c r="K257" s="5"/>
      <c r="L257" s="5"/>
      <c r="M257" s="5"/>
      <c r="N257" s="5"/>
      <c r="O257" s="5"/>
      <c r="P257" s="5"/>
      <c r="Q257" s="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v>255</v>
      </c>
      <c r="BO257" s="50">
        <v>127.5</v>
      </c>
      <c r="BP257" s="67" t="s">
        <v>0</v>
      </c>
    </row>
    <row r="258" spans="1:68" s="23" customFormat="1" ht="39.950000000000003" hidden="1" customHeight="1" x14ac:dyDescent="0.25">
      <c r="A258" s="5"/>
      <c r="B258" s="5"/>
      <c r="C258" s="5"/>
      <c r="D258" s="5"/>
      <c r="E258" s="5"/>
      <c r="F258" s="5"/>
      <c r="G258" s="5"/>
      <c r="H258" s="5"/>
      <c r="I258" s="5"/>
      <c r="J258" s="5"/>
      <c r="K258" s="5"/>
      <c r="L258" s="5"/>
      <c r="M258" s="5"/>
      <c r="N258" s="5"/>
      <c r="O258" s="5"/>
      <c r="P258" s="5"/>
      <c r="Q258" s="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v>256</v>
      </c>
      <c r="BO258" s="50">
        <v>128</v>
      </c>
      <c r="BP258" s="67" t="s">
        <v>0</v>
      </c>
    </row>
    <row r="259" spans="1:68" s="23" customFormat="1" ht="39.950000000000003" hidden="1" customHeight="1" x14ac:dyDescent="0.25">
      <c r="A259" s="5"/>
      <c r="B259" s="5"/>
      <c r="C259" s="5"/>
      <c r="D259" s="5"/>
      <c r="E259" s="5"/>
      <c r="F259" s="5"/>
      <c r="G259" s="5"/>
      <c r="H259" s="5"/>
      <c r="I259" s="5"/>
      <c r="J259" s="5"/>
      <c r="K259" s="5"/>
      <c r="L259" s="5"/>
      <c r="M259" s="5"/>
      <c r="N259" s="5"/>
      <c r="O259" s="5"/>
      <c r="P259" s="5"/>
      <c r="Q259" s="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v>257</v>
      </c>
      <c r="BO259" s="50">
        <v>128.5</v>
      </c>
      <c r="BP259" s="67" t="s">
        <v>0</v>
      </c>
    </row>
    <row r="260" spans="1:68" s="23" customFormat="1" ht="39.950000000000003" hidden="1" customHeight="1" x14ac:dyDescent="0.25">
      <c r="A260" s="5"/>
      <c r="B260" s="5"/>
      <c r="C260" s="5"/>
      <c r="D260" s="5"/>
      <c r="E260" s="5"/>
      <c r="F260" s="5"/>
      <c r="G260" s="5"/>
      <c r="H260" s="5"/>
      <c r="I260" s="5"/>
      <c r="J260" s="5"/>
      <c r="K260" s="5"/>
      <c r="L260" s="5"/>
      <c r="M260" s="5"/>
      <c r="N260" s="5"/>
      <c r="O260" s="5"/>
      <c r="P260" s="5"/>
      <c r="Q260" s="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v>258</v>
      </c>
      <c r="BO260" s="50">
        <v>129</v>
      </c>
      <c r="BP260" s="67" t="s">
        <v>0</v>
      </c>
    </row>
    <row r="261" spans="1:68" s="23" customFormat="1" ht="39.950000000000003" hidden="1" customHeight="1" x14ac:dyDescent="0.25">
      <c r="A261" s="5"/>
      <c r="B261" s="5"/>
      <c r="C261" s="5"/>
      <c r="D261" s="5"/>
      <c r="E261" s="5"/>
      <c r="F261" s="5"/>
      <c r="G261" s="5"/>
      <c r="H261" s="5"/>
      <c r="I261" s="5"/>
      <c r="J261" s="5"/>
      <c r="K261" s="5"/>
      <c r="L261" s="5"/>
      <c r="M261" s="5"/>
      <c r="N261" s="5"/>
      <c r="O261" s="5"/>
      <c r="P261" s="5"/>
      <c r="Q261" s="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v>259</v>
      </c>
      <c r="BO261" s="50">
        <v>129.5</v>
      </c>
      <c r="BP261" s="67" t="s">
        <v>0</v>
      </c>
    </row>
    <row r="262" spans="1:68" s="23" customFormat="1" ht="39.950000000000003" hidden="1" customHeight="1" x14ac:dyDescent="0.25">
      <c r="A262" s="5"/>
      <c r="B262" s="5"/>
      <c r="C262" s="5"/>
      <c r="D262" s="5"/>
      <c r="E262" s="5"/>
      <c r="F262" s="5"/>
      <c r="G262" s="5"/>
      <c r="H262" s="5"/>
      <c r="I262" s="5"/>
      <c r="J262" s="5"/>
      <c r="K262" s="5"/>
      <c r="L262" s="5"/>
      <c r="M262" s="5"/>
      <c r="N262" s="5"/>
      <c r="O262" s="5"/>
      <c r="P262" s="5"/>
      <c r="Q262" s="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v>260</v>
      </c>
      <c r="BO262" s="50">
        <v>130</v>
      </c>
      <c r="BP262" s="67" t="s">
        <v>0</v>
      </c>
    </row>
    <row r="263" spans="1:68" s="23" customFormat="1" ht="39.950000000000003" hidden="1" customHeight="1" x14ac:dyDescent="0.25">
      <c r="A263" s="5"/>
      <c r="B263" s="5"/>
      <c r="C263" s="5"/>
      <c r="D263" s="5"/>
      <c r="E263" s="5"/>
      <c r="F263" s="5"/>
      <c r="G263" s="5"/>
      <c r="H263" s="5"/>
      <c r="I263" s="5"/>
      <c r="J263" s="5"/>
      <c r="K263" s="5"/>
      <c r="L263" s="5"/>
      <c r="M263" s="5"/>
      <c r="N263" s="5"/>
      <c r="O263" s="5"/>
      <c r="P263" s="5"/>
      <c r="Q263" s="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v>261</v>
      </c>
      <c r="BO263" s="50">
        <v>130.5</v>
      </c>
      <c r="BP263" s="67" t="s">
        <v>0</v>
      </c>
    </row>
    <row r="264" spans="1:68" s="23" customFormat="1" ht="39.950000000000003" hidden="1" customHeight="1" x14ac:dyDescent="0.25">
      <c r="A264" s="5"/>
      <c r="B264" s="5"/>
      <c r="C264" s="5"/>
      <c r="D264" s="5"/>
      <c r="E264" s="5"/>
      <c r="F264" s="5"/>
      <c r="G264" s="5"/>
      <c r="H264" s="5"/>
      <c r="I264" s="5"/>
      <c r="J264" s="5"/>
      <c r="K264" s="5"/>
      <c r="L264" s="5"/>
      <c r="M264" s="5"/>
      <c r="N264" s="5"/>
      <c r="O264" s="5"/>
      <c r="P264" s="5"/>
      <c r="Q264" s="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v>262</v>
      </c>
      <c r="BO264" s="50">
        <v>131</v>
      </c>
      <c r="BP264" s="67" t="s">
        <v>0</v>
      </c>
    </row>
    <row r="265" spans="1:68" s="23" customFormat="1" ht="39.950000000000003" hidden="1" customHeight="1" x14ac:dyDescent="0.25">
      <c r="A265" s="5"/>
      <c r="B265" s="5"/>
      <c r="C265" s="5"/>
      <c r="D265" s="5"/>
      <c r="E265" s="5"/>
      <c r="F265" s="5"/>
      <c r="G265" s="5"/>
      <c r="H265" s="5"/>
      <c r="I265" s="5"/>
      <c r="J265" s="5"/>
      <c r="K265" s="5"/>
      <c r="L265" s="5"/>
      <c r="M265" s="5"/>
      <c r="N265" s="5"/>
      <c r="O265" s="5"/>
      <c r="P265" s="5"/>
      <c r="Q265" s="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v>263</v>
      </c>
      <c r="BO265" s="50">
        <v>131.5</v>
      </c>
      <c r="BP265" s="67" t="s">
        <v>0</v>
      </c>
    </row>
    <row r="266" spans="1:68" s="23" customFormat="1" ht="39.950000000000003" hidden="1" customHeight="1" x14ac:dyDescent="0.25">
      <c r="A266" s="5"/>
      <c r="B266" s="5"/>
      <c r="C266" s="5"/>
      <c r="D266" s="5"/>
      <c r="E266" s="5"/>
      <c r="F266" s="5"/>
      <c r="G266" s="5"/>
      <c r="H266" s="5"/>
      <c r="I266" s="5"/>
      <c r="J266" s="5"/>
      <c r="K266" s="5"/>
      <c r="L266" s="5"/>
      <c r="M266" s="5"/>
      <c r="N266" s="5"/>
      <c r="O266" s="5"/>
      <c r="P266" s="5"/>
      <c r="Q266" s="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v>264</v>
      </c>
      <c r="BO266" s="50">
        <v>132</v>
      </c>
      <c r="BP266" s="67" t="s">
        <v>0</v>
      </c>
    </row>
    <row r="267" spans="1:68" s="23" customFormat="1" ht="39.950000000000003" hidden="1" customHeight="1" x14ac:dyDescent="0.25">
      <c r="A267" s="5"/>
      <c r="B267" s="5"/>
      <c r="C267" s="5"/>
      <c r="D267" s="5"/>
      <c r="E267" s="5"/>
      <c r="F267" s="5"/>
      <c r="G267" s="5"/>
      <c r="H267" s="5"/>
      <c r="I267" s="5"/>
      <c r="J267" s="5"/>
      <c r="K267" s="5"/>
      <c r="L267" s="5"/>
      <c r="M267" s="5"/>
      <c r="N267" s="5"/>
      <c r="O267" s="5"/>
      <c r="P267" s="5"/>
      <c r="Q267" s="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v>265</v>
      </c>
      <c r="BO267" s="50">
        <v>132.5</v>
      </c>
      <c r="BP267" s="67" t="s">
        <v>0</v>
      </c>
    </row>
    <row r="268" spans="1:68" s="23" customFormat="1" ht="39.950000000000003" hidden="1" customHeight="1" x14ac:dyDescent="0.25">
      <c r="A268" s="5"/>
      <c r="B268" s="5"/>
      <c r="C268" s="5"/>
      <c r="D268" s="5"/>
      <c r="E268" s="5"/>
      <c r="F268" s="5"/>
      <c r="G268" s="5"/>
      <c r="H268" s="5"/>
      <c r="I268" s="5"/>
      <c r="J268" s="5"/>
      <c r="K268" s="5"/>
      <c r="L268" s="5"/>
      <c r="M268" s="5"/>
      <c r="N268" s="5"/>
      <c r="O268" s="5"/>
      <c r="P268" s="5"/>
      <c r="Q268" s="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v>266</v>
      </c>
      <c r="BO268" s="50">
        <v>133</v>
      </c>
      <c r="BP268" s="67" t="s">
        <v>0</v>
      </c>
    </row>
    <row r="269" spans="1:68" s="23" customFormat="1" ht="39.950000000000003" hidden="1" customHeight="1" x14ac:dyDescent="0.25">
      <c r="A269" s="5"/>
      <c r="B269" s="5"/>
      <c r="C269" s="5"/>
      <c r="D269" s="5"/>
      <c r="E269" s="5"/>
      <c r="F269" s="5"/>
      <c r="G269" s="5"/>
      <c r="H269" s="5"/>
      <c r="I269" s="5"/>
      <c r="J269" s="5"/>
      <c r="K269" s="5"/>
      <c r="L269" s="5"/>
      <c r="M269" s="5"/>
      <c r="N269" s="5"/>
      <c r="O269" s="5"/>
      <c r="P269" s="5"/>
      <c r="Q269" s="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v>267</v>
      </c>
      <c r="BO269" s="50">
        <v>133.5</v>
      </c>
      <c r="BP269" s="67" t="s">
        <v>0</v>
      </c>
    </row>
    <row r="270" spans="1:68" ht="39.950000000000003" hidden="1" customHeight="1" x14ac:dyDescent="0.25">
      <c r="BN270" s="35">
        <v>268</v>
      </c>
      <c r="BO270" s="50">
        <v>134</v>
      </c>
      <c r="BP270" s="67" t="s">
        <v>0</v>
      </c>
    </row>
    <row r="271" spans="1:68" ht="39.950000000000003" hidden="1" customHeight="1" x14ac:dyDescent="0.25">
      <c r="BN271" s="35">
        <v>269</v>
      </c>
      <c r="BO271" s="50">
        <v>134.5</v>
      </c>
      <c r="BP271" s="67" t="s">
        <v>0</v>
      </c>
    </row>
    <row r="272" spans="1:68" ht="39.950000000000003" hidden="1" customHeight="1" x14ac:dyDescent="0.25">
      <c r="BN272" s="35">
        <v>270</v>
      </c>
      <c r="BO272" s="50">
        <v>135</v>
      </c>
      <c r="BP272" s="67" t="s">
        <v>0</v>
      </c>
    </row>
    <row r="273" spans="66:68" ht="39.950000000000003" hidden="1" customHeight="1" x14ac:dyDescent="0.25">
      <c r="BN273" s="35">
        <v>271</v>
      </c>
      <c r="BO273" s="50">
        <v>135.5</v>
      </c>
      <c r="BP273" s="67" t="s">
        <v>0</v>
      </c>
    </row>
    <row r="274" spans="66:68" ht="39.950000000000003" hidden="1" customHeight="1" x14ac:dyDescent="0.25">
      <c r="BN274" s="35">
        <v>272</v>
      </c>
      <c r="BO274" s="50">
        <v>136</v>
      </c>
      <c r="BP274" s="67" t="s">
        <v>0</v>
      </c>
    </row>
    <row r="275" spans="66:68" ht="39.950000000000003" hidden="1" customHeight="1" x14ac:dyDescent="0.25">
      <c r="BN275" s="35">
        <v>273</v>
      </c>
      <c r="BO275" s="50">
        <v>136.5</v>
      </c>
      <c r="BP275" s="67" t="s">
        <v>0</v>
      </c>
    </row>
    <row r="276" spans="66:68" ht="39.950000000000003" hidden="1" customHeight="1" x14ac:dyDescent="0.25">
      <c r="BN276" s="35">
        <v>274</v>
      </c>
      <c r="BO276" s="50">
        <v>137</v>
      </c>
      <c r="BP276" s="67" t="s">
        <v>0</v>
      </c>
    </row>
    <row r="277" spans="66:68" ht="39.950000000000003" hidden="1" customHeight="1" x14ac:dyDescent="0.25">
      <c r="BN277" s="35">
        <v>275</v>
      </c>
      <c r="BO277" s="50">
        <v>137.5</v>
      </c>
      <c r="BP277" s="67" t="s">
        <v>0</v>
      </c>
    </row>
    <row r="278" spans="66:68" ht="39.950000000000003" hidden="1" customHeight="1" x14ac:dyDescent="0.25">
      <c r="BN278" s="35">
        <v>276</v>
      </c>
      <c r="BO278" s="50">
        <v>138</v>
      </c>
      <c r="BP278" s="67" t="s">
        <v>0</v>
      </c>
    </row>
    <row r="279" spans="66:68" ht="39.950000000000003" hidden="1" customHeight="1" x14ac:dyDescent="0.25">
      <c r="BN279" s="35">
        <v>277</v>
      </c>
      <c r="BO279" s="50">
        <v>138.5</v>
      </c>
      <c r="BP279" s="67" t="s">
        <v>0</v>
      </c>
    </row>
    <row r="280" spans="66:68" ht="39.950000000000003" hidden="1" customHeight="1" x14ac:dyDescent="0.25">
      <c r="BN280" s="35">
        <v>278</v>
      </c>
      <c r="BO280" s="50">
        <v>139</v>
      </c>
      <c r="BP280" s="67" t="s">
        <v>0</v>
      </c>
    </row>
    <row r="281" spans="66:68" ht="39.950000000000003" hidden="1" customHeight="1" x14ac:dyDescent="0.25">
      <c r="BN281" s="35">
        <v>279</v>
      </c>
      <c r="BO281" s="50">
        <v>139.5</v>
      </c>
      <c r="BP281" s="67" t="s">
        <v>0</v>
      </c>
    </row>
    <row r="282" spans="66:68" ht="39.950000000000003" hidden="1" customHeight="1" x14ac:dyDescent="0.25">
      <c r="BN282" s="35">
        <v>280</v>
      </c>
      <c r="BO282" s="50">
        <v>140</v>
      </c>
      <c r="BP282" s="67" t="s">
        <v>0</v>
      </c>
    </row>
    <row r="283" spans="66:68" ht="39.950000000000003" hidden="1" customHeight="1" x14ac:dyDescent="0.25">
      <c r="BN283" s="35">
        <v>281</v>
      </c>
      <c r="BO283" s="50">
        <v>140.5</v>
      </c>
      <c r="BP283" s="67" t="s">
        <v>0</v>
      </c>
    </row>
    <row r="284" spans="66:68" ht="39.950000000000003" hidden="1" customHeight="1" x14ac:dyDescent="0.25">
      <c r="BN284" s="35">
        <v>282</v>
      </c>
      <c r="BO284" s="50">
        <v>141</v>
      </c>
      <c r="BP284" s="67" t="s">
        <v>0</v>
      </c>
    </row>
    <row r="285" spans="66:68" ht="39.950000000000003" hidden="1" customHeight="1" x14ac:dyDescent="0.25">
      <c r="BN285" s="35">
        <v>283</v>
      </c>
      <c r="BO285" s="50">
        <v>141.5</v>
      </c>
      <c r="BP285" s="67" t="s">
        <v>0</v>
      </c>
    </row>
    <row r="286" spans="66:68" ht="39.950000000000003" hidden="1" customHeight="1" x14ac:dyDescent="0.25">
      <c r="BN286" s="35">
        <v>284</v>
      </c>
      <c r="BO286" s="50">
        <v>142</v>
      </c>
      <c r="BP286" s="67" t="s">
        <v>0</v>
      </c>
    </row>
    <row r="287" spans="66:68" ht="39.950000000000003" hidden="1" customHeight="1" x14ac:dyDescent="0.25">
      <c r="BN287" s="35">
        <v>285</v>
      </c>
      <c r="BO287" s="50">
        <v>142.5</v>
      </c>
      <c r="BP287" s="67" t="s">
        <v>0</v>
      </c>
    </row>
    <row r="288" spans="66:68" ht="39.950000000000003" hidden="1" customHeight="1" x14ac:dyDescent="0.25">
      <c r="BN288" s="35">
        <v>286</v>
      </c>
      <c r="BO288" s="50">
        <v>143</v>
      </c>
      <c r="BP288" s="67" t="s">
        <v>0</v>
      </c>
    </row>
    <row r="289" spans="66:68" ht="39.950000000000003" hidden="1" customHeight="1" x14ac:dyDescent="0.25">
      <c r="BN289" s="35">
        <v>287</v>
      </c>
      <c r="BO289" s="50">
        <v>143.5</v>
      </c>
      <c r="BP289" s="67" t="s">
        <v>0</v>
      </c>
    </row>
    <row r="290" spans="66:68" ht="39.950000000000003" hidden="1" customHeight="1" x14ac:dyDescent="0.25">
      <c r="BN290" s="35">
        <v>288</v>
      </c>
      <c r="BO290" s="50">
        <v>144</v>
      </c>
      <c r="BP290" s="67" t="s">
        <v>0</v>
      </c>
    </row>
    <row r="291" spans="66:68" ht="39.950000000000003" hidden="1" customHeight="1" x14ac:dyDescent="0.25">
      <c r="BN291" s="35">
        <v>289</v>
      </c>
      <c r="BO291" s="50">
        <v>144.5</v>
      </c>
      <c r="BP291" s="67" t="s">
        <v>0</v>
      </c>
    </row>
    <row r="292" spans="66:68" ht="39.950000000000003" hidden="1" customHeight="1" x14ac:dyDescent="0.25">
      <c r="BN292" s="35">
        <v>290</v>
      </c>
      <c r="BO292" s="50">
        <v>145</v>
      </c>
      <c r="BP292" s="67" t="s">
        <v>0</v>
      </c>
    </row>
    <row r="293" spans="66:68" ht="39.950000000000003" hidden="1" customHeight="1" x14ac:dyDescent="0.25">
      <c r="BN293" s="35">
        <v>291</v>
      </c>
      <c r="BO293" s="50">
        <v>145.5</v>
      </c>
      <c r="BP293" s="67" t="s">
        <v>0</v>
      </c>
    </row>
    <row r="294" spans="66:68" ht="39.950000000000003" hidden="1" customHeight="1" x14ac:dyDescent="0.25">
      <c r="BN294" s="35">
        <v>292</v>
      </c>
      <c r="BO294" s="50">
        <v>146</v>
      </c>
      <c r="BP294" s="67" t="s">
        <v>0</v>
      </c>
    </row>
    <row r="295" spans="66:68" ht="39.950000000000003" hidden="1" customHeight="1" x14ac:dyDescent="0.25">
      <c r="BN295" s="35">
        <v>293</v>
      </c>
      <c r="BO295" s="50">
        <v>146.5</v>
      </c>
      <c r="BP295" s="67" t="s">
        <v>0</v>
      </c>
    </row>
    <row r="296" spans="66:68" ht="39.950000000000003" hidden="1" customHeight="1" x14ac:dyDescent="0.25">
      <c r="BN296" s="35">
        <v>294</v>
      </c>
      <c r="BO296" s="50">
        <v>147</v>
      </c>
      <c r="BP296" s="67" t="s">
        <v>0</v>
      </c>
    </row>
    <row r="297" spans="66:68" ht="39.950000000000003" hidden="1" customHeight="1" x14ac:dyDescent="0.25">
      <c r="BN297" s="35">
        <v>295</v>
      </c>
      <c r="BO297" s="50">
        <v>147.5</v>
      </c>
      <c r="BP297" s="67" t="s">
        <v>0</v>
      </c>
    </row>
    <row r="298" spans="66:68" ht="39.950000000000003" hidden="1" customHeight="1" x14ac:dyDescent="0.25">
      <c r="BN298" s="35">
        <v>296</v>
      </c>
      <c r="BO298" s="50">
        <v>148</v>
      </c>
      <c r="BP298" s="67" t="s">
        <v>0</v>
      </c>
    </row>
    <row r="299" spans="66:68" ht="39.950000000000003" hidden="1" customHeight="1" x14ac:dyDescent="0.25">
      <c r="BN299" s="35">
        <v>297</v>
      </c>
      <c r="BO299" s="50">
        <v>148.5</v>
      </c>
      <c r="BP299" s="67" t="s">
        <v>0</v>
      </c>
    </row>
    <row r="300" spans="66:68" ht="39.950000000000003" hidden="1" customHeight="1" x14ac:dyDescent="0.25">
      <c r="BN300" s="35">
        <v>298</v>
      </c>
      <c r="BO300" s="50">
        <v>149</v>
      </c>
      <c r="BP300" s="67" t="s">
        <v>0</v>
      </c>
    </row>
    <row r="301" spans="66:68" ht="39.950000000000003" hidden="1" customHeight="1" x14ac:dyDescent="0.25">
      <c r="BN301" s="35">
        <v>299</v>
      </c>
      <c r="BO301" s="50">
        <v>149.5</v>
      </c>
      <c r="BP301" s="67" t="s">
        <v>0</v>
      </c>
    </row>
    <row r="302" spans="66:68" ht="39.950000000000003" hidden="1" customHeight="1" x14ac:dyDescent="0.25">
      <c r="BN302" s="35">
        <v>300</v>
      </c>
      <c r="BO302" s="50">
        <v>150</v>
      </c>
      <c r="BP302" s="67" t="s">
        <v>0</v>
      </c>
    </row>
    <row r="303" spans="66:68" ht="39.950000000000003" hidden="1" customHeight="1" x14ac:dyDescent="0.25">
      <c r="BN303" s="35">
        <v>301</v>
      </c>
      <c r="BO303" s="50">
        <v>150.5</v>
      </c>
      <c r="BP303" s="67" t="s">
        <v>0</v>
      </c>
    </row>
    <row r="304" spans="66:68" ht="39.950000000000003" hidden="1" customHeight="1" x14ac:dyDescent="0.25">
      <c r="BN304" s="35">
        <v>302</v>
      </c>
      <c r="BO304" s="50">
        <v>151</v>
      </c>
      <c r="BP304" s="67" t="s">
        <v>0</v>
      </c>
    </row>
    <row r="305" spans="66:68" ht="39.950000000000003" hidden="1" customHeight="1" x14ac:dyDescent="0.25">
      <c r="BN305" s="35">
        <v>303</v>
      </c>
      <c r="BO305" s="50">
        <v>151.5</v>
      </c>
      <c r="BP305" s="67" t="s">
        <v>0</v>
      </c>
    </row>
    <row r="306" spans="66:68" ht="39.950000000000003" hidden="1" customHeight="1" x14ac:dyDescent="0.25">
      <c r="BN306" s="35">
        <v>304</v>
      </c>
      <c r="BO306" s="50">
        <v>152</v>
      </c>
      <c r="BP306" s="67" t="s">
        <v>0</v>
      </c>
    </row>
    <row r="307" spans="66:68" ht="39.950000000000003" hidden="1" customHeight="1" x14ac:dyDescent="0.25">
      <c r="BN307" s="35">
        <v>305</v>
      </c>
      <c r="BO307" s="50">
        <v>152.5</v>
      </c>
      <c r="BP307" s="67" t="s">
        <v>0</v>
      </c>
    </row>
    <row r="308" spans="66:68" ht="39.950000000000003" hidden="1" customHeight="1" x14ac:dyDescent="0.25">
      <c r="BN308" s="35">
        <v>306</v>
      </c>
      <c r="BO308" s="50">
        <v>153</v>
      </c>
      <c r="BP308" s="67" t="s">
        <v>0</v>
      </c>
    </row>
    <row r="309" spans="66:68" ht="39.950000000000003" hidden="1" customHeight="1" x14ac:dyDescent="0.25">
      <c r="BN309" s="35">
        <v>307</v>
      </c>
      <c r="BO309" s="50">
        <v>153.5</v>
      </c>
      <c r="BP309" s="67" t="s">
        <v>0</v>
      </c>
    </row>
    <row r="310" spans="66:68" ht="39.950000000000003" hidden="1" customHeight="1" x14ac:dyDescent="0.25">
      <c r="BN310" s="35">
        <v>308</v>
      </c>
      <c r="BO310" s="50">
        <v>154</v>
      </c>
      <c r="BP310" s="67" t="s">
        <v>0</v>
      </c>
    </row>
    <row r="311" spans="66:68" ht="39.950000000000003" hidden="1" customHeight="1" x14ac:dyDescent="0.25">
      <c r="BN311" s="35">
        <v>309</v>
      </c>
      <c r="BO311" s="50">
        <v>154.5</v>
      </c>
      <c r="BP311" s="67" t="s">
        <v>0</v>
      </c>
    </row>
    <row r="312" spans="66:68" ht="39.950000000000003" hidden="1" customHeight="1" x14ac:dyDescent="0.25">
      <c r="BN312" s="35">
        <v>310</v>
      </c>
      <c r="BO312" s="50">
        <v>155</v>
      </c>
      <c r="BP312" s="67" t="s">
        <v>0</v>
      </c>
    </row>
    <row r="313" spans="66:68" ht="39.950000000000003" hidden="1" customHeight="1" x14ac:dyDescent="0.25">
      <c r="BN313" s="35">
        <v>311</v>
      </c>
      <c r="BO313" s="50">
        <v>155.5</v>
      </c>
      <c r="BP313" s="67" t="s">
        <v>0</v>
      </c>
    </row>
    <row r="314" spans="66:68" ht="39.950000000000003" hidden="1" customHeight="1" x14ac:dyDescent="0.25">
      <c r="BN314" s="35">
        <v>312</v>
      </c>
      <c r="BO314" s="50">
        <v>156</v>
      </c>
      <c r="BP314" s="67" t="s">
        <v>0</v>
      </c>
    </row>
    <row r="315" spans="66:68" ht="39.950000000000003" hidden="1" customHeight="1" x14ac:dyDescent="0.25">
      <c r="BN315" s="35">
        <v>313</v>
      </c>
      <c r="BO315" s="50">
        <v>156.5</v>
      </c>
      <c r="BP315" s="67" t="s">
        <v>0</v>
      </c>
    </row>
    <row r="316" spans="66:68" ht="39.950000000000003" hidden="1" customHeight="1" x14ac:dyDescent="0.25">
      <c r="BN316" s="35">
        <v>314</v>
      </c>
      <c r="BO316" s="50">
        <v>157</v>
      </c>
      <c r="BP316" s="67" t="s">
        <v>0</v>
      </c>
    </row>
    <row r="317" spans="66:68" ht="39.950000000000003" hidden="1" customHeight="1" x14ac:dyDescent="0.25">
      <c r="BN317" s="35">
        <v>315</v>
      </c>
      <c r="BO317" s="50">
        <v>157.5</v>
      </c>
      <c r="BP317" s="67" t="s">
        <v>0</v>
      </c>
    </row>
    <row r="318" spans="66:68" ht="39.950000000000003" hidden="1" customHeight="1" x14ac:dyDescent="0.25">
      <c r="BN318" s="35">
        <v>316</v>
      </c>
      <c r="BO318" s="50">
        <v>158</v>
      </c>
      <c r="BP318" s="67" t="s">
        <v>0</v>
      </c>
    </row>
    <row r="319" spans="66:68" ht="39.950000000000003" hidden="1" customHeight="1" x14ac:dyDescent="0.25">
      <c r="BN319" s="35">
        <v>317</v>
      </c>
      <c r="BO319" s="50">
        <v>158.5</v>
      </c>
      <c r="BP319" s="67" t="s">
        <v>0</v>
      </c>
    </row>
    <row r="320" spans="66:68" ht="39.950000000000003" hidden="1" customHeight="1" x14ac:dyDescent="0.25">
      <c r="BN320" s="35">
        <v>318</v>
      </c>
      <c r="BO320" s="50">
        <v>159</v>
      </c>
      <c r="BP320" s="67" t="s">
        <v>0</v>
      </c>
    </row>
    <row r="321" spans="66:68" ht="39.950000000000003" hidden="1" customHeight="1" x14ac:dyDescent="0.25">
      <c r="BN321" s="35">
        <v>319</v>
      </c>
      <c r="BO321" s="50">
        <v>159.5</v>
      </c>
      <c r="BP321" s="67" t="s">
        <v>0</v>
      </c>
    </row>
    <row r="322" spans="66:68" ht="39.950000000000003" hidden="1" customHeight="1" x14ac:dyDescent="0.25">
      <c r="BN322" s="35">
        <v>320</v>
      </c>
      <c r="BO322" s="50">
        <v>160</v>
      </c>
      <c r="BP322" s="67" t="s">
        <v>0</v>
      </c>
    </row>
    <row r="323" spans="66:68" ht="39.950000000000003" hidden="1" customHeight="1" x14ac:dyDescent="0.25">
      <c r="BN323" s="35">
        <v>321</v>
      </c>
      <c r="BO323" s="50">
        <v>160.5</v>
      </c>
      <c r="BP323" s="67" t="s">
        <v>0</v>
      </c>
    </row>
    <row r="324" spans="66:68" ht="39.950000000000003" hidden="1" customHeight="1" x14ac:dyDescent="0.25">
      <c r="BN324" s="35">
        <v>322</v>
      </c>
      <c r="BO324" s="50">
        <v>161</v>
      </c>
      <c r="BP324" s="67" t="s">
        <v>0</v>
      </c>
    </row>
    <row r="325" spans="66:68" ht="39.950000000000003" hidden="1" customHeight="1" x14ac:dyDescent="0.25">
      <c r="BN325" s="35">
        <v>323</v>
      </c>
      <c r="BO325" s="50">
        <v>161.5</v>
      </c>
      <c r="BP325" s="67" t="s">
        <v>0</v>
      </c>
    </row>
    <row r="326" spans="66:68" ht="39.950000000000003" hidden="1" customHeight="1" x14ac:dyDescent="0.25">
      <c r="BN326" s="35">
        <v>324</v>
      </c>
      <c r="BO326" s="50">
        <v>162</v>
      </c>
      <c r="BP326" s="67" t="s">
        <v>0</v>
      </c>
    </row>
    <row r="327" spans="66:68" ht="39.950000000000003" hidden="1" customHeight="1" x14ac:dyDescent="0.25">
      <c r="BN327" s="35">
        <v>325</v>
      </c>
      <c r="BO327" s="50">
        <v>162.5</v>
      </c>
      <c r="BP327" s="67" t="s">
        <v>0</v>
      </c>
    </row>
    <row r="328" spans="66:68" ht="39.950000000000003" hidden="1" customHeight="1" x14ac:dyDescent="0.25">
      <c r="BN328" s="35">
        <v>326</v>
      </c>
      <c r="BO328" s="50">
        <v>163</v>
      </c>
      <c r="BP328" s="67" t="s">
        <v>0</v>
      </c>
    </row>
    <row r="329" spans="66:68" ht="39.950000000000003" hidden="1" customHeight="1" x14ac:dyDescent="0.25">
      <c r="BN329" s="35">
        <v>327</v>
      </c>
      <c r="BO329" s="50">
        <v>163.5</v>
      </c>
      <c r="BP329" s="67" t="s">
        <v>0</v>
      </c>
    </row>
    <row r="330" spans="66:68" ht="39.950000000000003" hidden="1" customHeight="1" x14ac:dyDescent="0.25">
      <c r="BN330" s="35">
        <v>328</v>
      </c>
      <c r="BO330" s="50">
        <v>164</v>
      </c>
      <c r="BP330" s="67" t="s">
        <v>0</v>
      </c>
    </row>
    <row r="331" spans="66:68" ht="39.950000000000003" hidden="1" customHeight="1" x14ac:dyDescent="0.25">
      <c r="BN331" s="35">
        <v>329</v>
      </c>
      <c r="BO331" s="50">
        <v>164.5</v>
      </c>
      <c r="BP331" s="67" t="s">
        <v>0</v>
      </c>
    </row>
    <row r="332" spans="66:68" ht="39.950000000000003" hidden="1" customHeight="1" x14ac:dyDescent="0.25">
      <c r="BN332" s="35">
        <v>330</v>
      </c>
      <c r="BO332" s="50">
        <v>165</v>
      </c>
      <c r="BP332" s="67" t="s">
        <v>0</v>
      </c>
    </row>
    <row r="333" spans="66:68" ht="39.950000000000003" hidden="1" customHeight="1" x14ac:dyDescent="0.25">
      <c r="BN333" s="35">
        <v>331</v>
      </c>
      <c r="BO333" s="50">
        <v>165.5</v>
      </c>
      <c r="BP333" s="67" t="s">
        <v>0</v>
      </c>
    </row>
    <row r="334" spans="66:68" ht="39.950000000000003" hidden="1" customHeight="1" x14ac:dyDescent="0.25">
      <c r="BN334" s="35">
        <v>332</v>
      </c>
      <c r="BO334" s="50">
        <v>166</v>
      </c>
      <c r="BP334" s="67" t="s">
        <v>0</v>
      </c>
    </row>
    <row r="335" spans="66:68" ht="39.950000000000003" hidden="1" customHeight="1" x14ac:dyDescent="0.25">
      <c r="BN335" s="35">
        <v>333</v>
      </c>
      <c r="BO335" s="50">
        <v>166.5</v>
      </c>
      <c r="BP335" s="67" t="s">
        <v>0</v>
      </c>
    </row>
    <row r="336" spans="66:68" ht="39.950000000000003" hidden="1" customHeight="1" x14ac:dyDescent="0.25">
      <c r="BN336" s="35">
        <v>334</v>
      </c>
      <c r="BO336" s="50">
        <v>167</v>
      </c>
      <c r="BP336" s="67" t="s">
        <v>0</v>
      </c>
    </row>
    <row r="337" spans="66:68" ht="39.950000000000003" hidden="1" customHeight="1" x14ac:dyDescent="0.25">
      <c r="BN337" s="35">
        <v>335</v>
      </c>
      <c r="BO337" s="50">
        <v>167.5</v>
      </c>
      <c r="BP337" s="67" t="s">
        <v>0</v>
      </c>
    </row>
    <row r="338" spans="66:68" ht="39.950000000000003" hidden="1" customHeight="1" x14ac:dyDescent="0.25">
      <c r="BN338" s="35">
        <v>336</v>
      </c>
      <c r="BO338" s="50">
        <v>168</v>
      </c>
      <c r="BP338" s="67" t="s">
        <v>0</v>
      </c>
    </row>
    <row r="339" spans="66:68" ht="39.950000000000003" hidden="1" customHeight="1" x14ac:dyDescent="0.25">
      <c r="BN339" s="35">
        <v>337</v>
      </c>
      <c r="BO339" s="50">
        <v>168.5</v>
      </c>
      <c r="BP339" s="67" t="s">
        <v>0</v>
      </c>
    </row>
    <row r="340" spans="66:68" ht="39.950000000000003" hidden="1" customHeight="1" x14ac:dyDescent="0.25">
      <c r="BN340" s="35">
        <v>338</v>
      </c>
      <c r="BO340" s="50">
        <v>169</v>
      </c>
      <c r="BP340" s="67" t="s">
        <v>0</v>
      </c>
    </row>
    <row r="341" spans="66:68" ht="39.950000000000003" hidden="1" customHeight="1" x14ac:dyDescent="0.25">
      <c r="BN341" s="35">
        <v>339</v>
      </c>
      <c r="BO341" s="50">
        <v>169.5</v>
      </c>
      <c r="BP341" s="67" t="s">
        <v>0</v>
      </c>
    </row>
    <row r="342" spans="66:68" ht="39.950000000000003" hidden="1" customHeight="1" x14ac:dyDescent="0.25">
      <c r="BN342" s="35">
        <v>340</v>
      </c>
      <c r="BO342" s="50">
        <v>170</v>
      </c>
      <c r="BP342" s="67" t="s">
        <v>0</v>
      </c>
    </row>
    <row r="343" spans="66:68" ht="39.950000000000003" hidden="1" customHeight="1" x14ac:dyDescent="0.25">
      <c r="BN343" s="35">
        <v>341</v>
      </c>
      <c r="BO343" s="50">
        <v>170.5</v>
      </c>
      <c r="BP343" s="67" t="s">
        <v>0</v>
      </c>
    </row>
    <row r="344" spans="66:68" ht="39.950000000000003" hidden="1" customHeight="1" x14ac:dyDescent="0.25">
      <c r="BN344" s="35">
        <v>342</v>
      </c>
      <c r="BO344" s="50">
        <v>171</v>
      </c>
      <c r="BP344" s="67" t="s">
        <v>0</v>
      </c>
    </row>
    <row r="345" spans="66:68" ht="39.950000000000003" hidden="1" customHeight="1" x14ac:dyDescent="0.25">
      <c r="BN345" s="35">
        <v>343</v>
      </c>
      <c r="BO345" s="50">
        <v>171.5</v>
      </c>
      <c r="BP345" s="67" t="s">
        <v>0</v>
      </c>
    </row>
    <row r="346" spans="66:68" ht="39.950000000000003" hidden="1" customHeight="1" x14ac:dyDescent="0.25">
      <c r="BN346" s="35">
        <v>344</v>
      </c>
      <c r="BO346" s="50">
        <v>172</v>
      </c>
      <c r="BP346" s="67" t="s">
        <v>0</v>
      </c>
    </row>
    <row r="347" spans="66:68" ht="39.950000000000003" hidden="1" customHeight="1" x14ac:dyDescent="0.25">
      <c r="BN347" s="35">
        <v>345</v>
      </c>
      <c r="BO347" s="50">
        <v>172.5</v>
      </c>
      <c r="BP347" s="67" t="s">
        <v>0</v>
      </c>
    </row>
    <row r="348" spans="66:68" ht="39.950000000000003" hidden="1" customHeight="1" x14ac:dyDescent="0.25">
      <c r="BN348" s="35">
        <v>346</v>
      </c>
      <c r="BO348" s="50">
        <v>173</v>
      </c>
      <c r="BP348" s="67" t="s">
        <v>0</v>
      </c>
    </row>
    <row r="349" spans="66:68" ht="39.950000000000003" hidden="1" customHeight="1" x14ac:dyDescent="0.25">
      <c r="BN349" s="35">
        <v>347</v>
      </c>
      <c r="BO349" s="50">
        <v>173.5</v>
      </c>
      <c r="BP349" s="67" t="s">
        <v>0</v>
      </c>
    </row>
    <row r="350" spans="66:68" ht="39.950000000000003" hidden="1" customHeight="1" x14ac:dyDescent="0.25">
      <c r="BN350" s="35">
        <v>348</v>
      </c>
      <c r="BO350" s="50">
        <v>174</v>
      </c>
      <c r="BP350" s="67" t="s">
        <v>0</v>
      </c>
    </row>
    <row r="351" spans="66:68" ht="39.950000000000003" hidden="1" customHeight="1" x14ac:dyDescent="0.25">
      <c r="BN351" s="35">
        <v>349</v>
      </c>
      <c r="BO351" s="50">
        <v>174.5</v>
      </c>
      <c r="BP351" s="67" t="s">
        <v>0</v>
      </c>
    </row>
    <row r="352" spans="66:68" ht="39.950000000000003" hidden="1" customHeight="1" x14ac:dyDescent="0.25">
      <c r="BN352" s="35">
        <v>350</v>
      </c>
      <c r="BO352" s="50">
        <v>175</v>
      </c>
      <c r="BP352" s="67" t="s">
        <v>0</v>
      </c>
    </row>
    <row r="353" spans="66:68" ht="39.950000000000003" hidden="1" customHeight="1" x14ac:dyDescent="0.25">
      <c r="BN353" s="35">
        <v>351</v>
      </c>
      <c r="BO353" s="50">
        <v>175.5</v>
      </c>
      <c r="BP353" s="67" t="s">
        <v>0</v>
      </c>
    </row>
    <row r="354" spans="66:68" ht="39.950000000000003" hidden="1" customHeight="1" x14ac:dyDescent="0.25">
      <c r="BN354" s="35">
        <v>352</v>
      </c>
      <c r="BO354" s="50">
        <v>176</v>
      </c>
      <c r="BP354" s="67" t="s">
        <v>0</v>
      </c>
    </row>
    <row r="355" spans="66:68" ht="39.950000000000003" hidden="1" customHeight="1" x14ac:dyDescent="0.25">
      <c r="BN355" s="35">
        <v>353</v>
      </c>
      <c r="BO355" s="50">
        <v>176.5</v>
      </c>
      <c r="BP355" s="67" t="s">
        <v>0</v>
      </c>
    </row>
    <row r="356" spans="66:68" ht="39.950000000000003" hidden="1" customHeight="1" x14ac:dyDescent="0.25">
      <c r="BN356" s="35">
        <v>354</v>
      </c>
      <c r="BO356" s="50">
        <v>177</v>
      </c>
      <c r="BP356" s="67" t="s">
        <v>0</v>
      </c>
    </row>
    <row r="357" spans="66:68" ht="39.950000000000003" hidden="1" customHeight="1" x14ac:dyDescent="0.25">
      <c r="BN357" s="35">
        <v>355</v>
      </c>
      <c r="BO357" s="50">
        <v>177.5</v>
      </c>
      <c r="BP357" s="67" t="s">
        <v>0</v>
      </c>
    </row>
    <row r="358" spans="66:68" ht="39.950000000000003" hidden="1" customHeight="1" x14ac:dyDescent="0.25">
      <c r="BN358" s="35">
        <v>356</v>
      </c>
      <c r="BO358" s="50">
        <v>178</v>
      </c>
      <c r="BP358" s="67" t="s">
        <v>0</v>
      </c>
    </row>
    <row r="359" spans="66:68" ht="39.950000000000003" hidden="1" customHeight="1" x14ac:dyDescent="0.25">
      <c r="BN359" s="35">
        <v>357</v>
      </c>
      <c r="BO359" s="50">
        <v>178.5</v>
      </c>
      <c r="BP359" s="67" t="s">
        <v>0</v>
      </c>
    </row>
    <row r="360" spans="66:68" ht="39.950000000000003" hidden="1" customHeight="1" x14ac:dyDescent="0.25">
      <c r="BN360" s="35">
        <v>358</v>
      </c>
      <c r="BO360" s="50">
        <v>179</v>
      </c>
      <c r="BP360" s="67" t="s">
        <v>0</v>
      </c>
    </row>
    <row r="361" spans="66:68" ht="39.950000000000003" hidden="1" customHeight="1" x14ac:dyDescent="0.25">
      <c r="BN361" s="35">
        <v>359</v>
      </c>
      <c r="BO361" s="50">
        <v>179.5</v>
      </c>
      <c r="BP361" s="67" t="s">
        <v>0</v>
      </c>
    </row>
    <row r="362" spans="66:68" ht="39.950000000000003" hidden="1" customHeight="1" x14ac:dyDescent="0.25">
      <c r="BN362" s="35">
        <v>360</v>
      </c>
      <c r="BO362" s="50">
        <v>180</v>
      </c>
      <c r="BP362" s="67" t="s">
        <v>0</v>
      </c>
    </row>
    <row r="363" spans="66:68" ht="9.9499999999999993" hidden="1" customHeight="1" x14ac:dyDescent="0.25"/>
  </sheetData>
  <sheetProtection algorithmName="SHA-512" hashValue="8V4hZecsGMoyAl61h+VT6/SE8U1Lo1EYU3FqbY/plHCS73dCvU3inLiQYwFRKL7OUnZKwozecg9qh0YhRZk3sw==" saltValue="K51UH4Ale6hTa1g+TQJ7Ug==" spinCount="100000" sheet="1" objects="1" scenarios="1" selectLockedCells="1"/>
  <mergeCells count="22">
    <mergeCell ref="K1:K14"/>
    <mergeCell ref="G1:G14"/>
    <mergeCell ref="C1:C14"/>
    <mergeCell ref="E1:E14"/>
    <mergeCell ref="F1:F14"/>
    <mergeCell ref="D1:D14"/>
    <mergeCell ref="H1:H14"/>
    <mergeCell ref="I1:I14"/>
    <mergeCell ref="Q1:Q28"/>
    <mergeCell ref="L1:L14"/>
    <mergeCell ref="J1:J14"/>
    <mergeCell ref="BK2:BK27"/>
    <mergeCell ref="BM2:BM27"/>
    <mergeCell ref="BL2:BL27"/>
    <mergeCell ref="BK1:BM1"/>
    <mergeCell ref="O1:O28"/>
    <mergeCell ref="BK28:BM28"/>
    <mergeCell ref="P1:P28"/>
    <mergeCell ref="N1:N14"/>
    <mergeCell ref="M1:M14"/>
    <mergeCell ref="A1:B14"/>
    <mergeCell ref="BJ1:BJ28"/>
  </mergeCells>
  <phoneticPr fontId="4" type="noConversion"/>
  <dataValidations count="9">
    <dataValidation type="list" allowBlank="1" showInputMessage="1" showErrorMessage="1" sqref="AR1:AR12" xr:uid="{E841B1FE-C54D-4717-9FC1-F068EB3EAE5B}">
      <formula1>"Yok, Var"</formula1>
    </dataValidation>
    <dataValidation type="list" allowBlank="1" showInputMessage="1" showErrorMessage="1" sqref="J15:J26" xr:uid="{D6DB34B5-9590-4803-9833-F0079B9818CB}">
      <formula1>$BP$2:$BP$50</formula1>
    </dataValidation>
    <dataValidation type="list" allowBlank="1" showInputMessage="1" showErrorMessage="1" sqref="O1:O28" xr:uid="{00000000-0002-0000-0000-000002000000}">
      <formula1>"Ocak, Şubat, Mart, Nisan, Mayıs, Haziran, Temmuz, Ağustos, Eylül, Ekim, Kasım, Aralık, Yıllık Toplam, Yıllık Ortalama"</formula1>
    </dataValidation>
    <dataValidation type="list" allowBlank="1" showInputMessage="1" showErrorMessage="1" sqref="AA4" xr:uid="{00000000-0002-0000-0000-000003000000}">
      <formula1>#REF!</formula1>
    </dataValidation>
    <dataValidation type="list" allowBlank="1" showInputMessage="1" showErrorMessage="1" sqref="AI15:AI26 AI1:AI12 AC15:AC26 AF15:AF26" xr:uid="{00000000-0002-0000-0000-000005000000}">
      <formula1>$BO$2:$BO$362</formula1>
    </dataValidation>
    <dataValidation type="list" allowBlank="1" showInputMessage="1" showErrorMessage="1" sqref="AN29:AN40 Z15:Z26 AH29:AH40 I15:I26 AK29:AK40" xr:uid="{00000000-0002-0000-0000-000006000000}">
      <formula1>$BN$2:$BN$362</formula1>
    </dataValidation>
    <dataValidation type="list" allowBlank="1" showInputMessage="1" showErrorMessage="1" sqref="K15:K26" xr:uid="{25998A6F-E4EE-4155-A87F-20511ED5715B}">
      <formula1>"Yok,1. Derece,2. Derece,3. Derece"</formula1>
    </dataValidation>
    <dataValidation type="list" allowBlank="1" showInputMessage="1" showErrorMessage="1" sqref="AL1:AN12" xr:uid="{8D39B2D0-F4D0-45BF-964A-23D3EE799D8B}">
      <formula1>$X$39:$X$54</formula1>
    </dataValidation>
    <dataValidation type="list" allowBlank="1" showInputMessage="1" showErrorMessage="1" sqref="BJ1" xr:uid="{00000000-0002-0000-0000-000007000000}">
      <formula1>$R$21:$R$34</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½</cp:lastModifiedBy>
  <cp:lastPrinted>2021-01-27T16:23:43Z</cp:lastPrinted>
  <dcterms:created xsi:type="dcterms:W3CDTF">2015-06-05T18:19:34Z</dcterms:created>
  <dcterms:modified xsi:type="dcterms:W3CDTF">2025-06-20T16:30:21Z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